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<sst xmlns="http://schemas.openxmlformats.org/spreadsheetml/2006/main" count="1061" uniqueCount="976">
  <si>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</si>
  <si>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</si>
  <si>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</si>
  <si>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</si>
  <si>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</si>
  <si>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</si>
  <si>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</si>
  <si>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</si>
  <si>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</si>
  <si>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</si>
  <si>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</si>
  <si>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</si>
  <si>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</si>
  <si>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</si>
  <si>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</si>
  <si>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</si>
  <si>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</si>
  <si>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</si>
  <si>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</si>
  <si>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</si>
  <si>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</si>
  <si>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</si>
  <si>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</si>
  <si>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</si>
  <si>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</si>
  <si>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</si>
  <si>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</si>
  <si>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</si>
  <si>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</si>
  <si>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</si>
  <si>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</si>
  <si>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</si>
  <si>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</si>
  <si>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</si>
  <si>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</si>
  <si>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</si>
  <si>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</si>
  <si>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</si>
  <si>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</si>
  <si>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</si>
  <si>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</si>
  <si>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</si>
  <si>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</si>
  <si>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</si>
  <si>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</si>
  <si>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</si>
  <si>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</si>
  <si>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</si>
  <si>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</si>
  <si>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</si>
  <si>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</si>
  <si>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</si>
  <si>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</si>
  <si>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</si>
  <si>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</si>
  <si>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</si>
  <si>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</si>
  <si>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</si>
  <si>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</si>
  <si>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</si>
  <si>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</si>
  <si>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</si>
  <si>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</si>
  <si>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</si>
  <si>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</si>
  <si>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</si>
  <si>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</si>
  <si>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</si>
  <si>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</si>
  <si>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</si>
  <si>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</si>
  <si>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</si>
  <si>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</si>
  <si>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</si>
  <si>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</si>
  <si>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</si>
  <si>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</si>
  <si>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</si>
  <si>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</si>
  <si>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</si>
  <si>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</si>
  <si>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</si>
  <si>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</si>
  <si>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</si>
  <si>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</si>
  <si>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</si>
  <si>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</si>
  <si>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</si>
  <si>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</si>
  <si>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</si>
  <si>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</si>
  <si>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</si>
  <si>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</si>
  <si>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</si>
  <si>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</si>
  <si>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</si>
  <si>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</si>
  <si>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</si>
  <si>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</si>
  <si>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</si>
  <si>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</si>
  <si>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</si>
  <si>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</si>
  <si>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</si>
  <si>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</si>
  <si>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</si>
  <si>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</si>
  <si>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</si>
  <si>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</si>
  <si>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</si>
  <si>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</si>
  <si>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</si>
  <si>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</si>
  <si>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</si>
  <si>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</si>
  <si>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</si>
  <si>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</si>
  <si>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</si>
  <si>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</si>
  <si>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</si>
  <si>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</si>
  <si>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</si>
  <si>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</si>
  <si>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</si>
  <si>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</si>
  <si>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</si>
  <si>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</si>
  <si>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</si>
  <si>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</si>
  <si>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</si>
  <si>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</si>
  <si>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</si>
  <si>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</si>
  <si>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</si>
  <si>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</si>
  <si>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</si>
  <si>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</si>
  <si>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</si>
  <si>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</si>
  <si>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</si>
  <si>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</si>
  <si>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</si>
  <si>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</si>
  <si>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</si>
  <si>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</si>
  <si>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</si>
  <si>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</si>
  <si>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</si>
  <si>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</si>
  <si>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</si>
  <si>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</si>
  <si>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</si>
  <si>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</si>
  <si>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</si>
  <si>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</si>
  <si>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</si>
  <si>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</si>
  <si>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</si>
  <si>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</si>
  <si>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</si>
  <si>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</si>
  <si>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</si>
  <si>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</si>
  <si>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</si>
  <si>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</si>
  <si>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</si>
  <si>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</si>
  <si>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</si>
  <si>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</si>
  <si>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</si>
  <si>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</si>
  <si>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</si>
  <si>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</si>
  <si>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</si>
  <si>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</si>
  <si>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</si>
  <si>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</si>
  <si>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</si>
  <si>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</si>
  <si>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</si>
  <si>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</si>
  <si>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</si>
  <si>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</si>
  <si>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</si>
  <si>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</si>
  <si>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</si>
  <si>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</si>
  <si>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</si>
  <si>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</si>
  <si>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</si>
  <si>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</si>
  <si>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</si>
  <si>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</si>
  <si>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</si>
  <si>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</si>
  <si>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</si>
  <si>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</si>
  <si>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</si>
  <si>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</si>
  <si>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</si>
  <si>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</si>
  <si>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</si>
  <si>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</si>
  <si>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</si>
  <si>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</si>
  <si>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</si>
  <si>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</si>
  <si>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</si>
  <si>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</si>
  <si>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</si>
  <si>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</si>
  <si>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</si>
  <si>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</si>
  <si>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</si>
  <si>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</si>
  <si>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</si>
  <si>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</si>
  <si>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</si>
  <si>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</si>
  <si>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</si>
  <si>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</si>
  <si>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</si>
  <si>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</si>
  <si>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</si>
  <si>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</si>
  <si>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</si>
  <si>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</si>
  <si>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</si>
  <si>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</si>
  <si>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</si>
  <si>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</si>
  <si>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</si>
  <si>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</si>
  <si>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</si>
  <si>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</si>
  <si>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</si>
  <si>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</si>
  <si>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</si>
  <si>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</si>
  <si>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</si>
  <si>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</si>
  <si>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</si>
  <si>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</si>
  <si>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</si>
  <si>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</si>
  <si>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</si>
  <si>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</si>
  <si>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</si>
  <si>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</si>
  <si>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</si>
  <si>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</si>
  <si>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</si>
  <si>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</si>
  <si>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</si>
  <si>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</si>
  <si>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</si>
  <si>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</si>
  <si>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</si>
  <si>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</si>
  <si>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</si>
  <si>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</si>
  <si>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</si>
  <si>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</si>
  <si>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</si>
  <si>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</si>
  <si>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</si>
  <si>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</si>
  <si>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</si>
  <si>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</si>
  <si>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</si>
  <si>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</si>
  <si>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</si>
  <si>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</si>
  <si>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</si>
  <si>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</si>
  <si>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</si>
  <si>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</si>
  <si>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</si>
  <si>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</si>
  <si>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</si>
  <si>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</si>
  <si>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</si>
  <si>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</si>
  <si>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</si>
  <si>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</si>
  <si>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</si>
  <si>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</si>
  <si>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</si>
  <si>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</si>
  <si>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</si>
  <si>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</si>
  <si>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</si>
  <si>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</si>
  <si>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</si>
  <si>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</si>
  <si>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</si>
  <si>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</si>
  <si>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</si>
  <si>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</si>
  <si>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Надійшло станом на 26.11.2015</t>
  </si>
  <si>
    <t>Профінансовано на 26.11.2015</t>
  </si>
  <si>
    <r>
      <t xml:space="preserve">Залишок коштів на рахунку на 26.11.2015 </t>
    </r>
    <r>
      <rPr>
        <b/>
        <sz val="9"/>
        <rFont val="Times New Roman"/>
        <family val="1"/>
      </rPr>
      <t>(без депозиту)</t>
    </r>
  </si>
  <si>
    <t>Розміщено на депозиті станом на 26.11.15</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</si>
  <si>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</si>
  <si>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</si>
  <si>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</si>
  <si>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</si>
  <si>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</si>
  <si>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</si>
  <si>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</si>
  <si>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</si>
  <si>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</si>
  <si>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</si>
  <si>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</si>
  <si>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</si>
  <si>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</si>
  <si>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</si>
  <si>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</si>
  <si>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</si>
  <si>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</si>
  <si>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</si>
  <si>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</si>
  <si>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</si>
  <si>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</si>
  <si>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</si>
  <si>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</si>
  <si>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</si>
  <si>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</si>
  <si>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</si>
  <si>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</si>
  <si>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</si>
  <si>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</si>
  <si>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</si>
  <si>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</si>
  <si>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</si>
  <si>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</si>
  <si>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</si>
  <si>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</si>
  <si>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</si>
  <si>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</si>
  <si>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</si>
  <si>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</si>
  <si>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</si>
  <si>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</si>
  <si>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</si>
  <si>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</si>
  <si>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</si>
  <si>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</si>
  <si>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</si>
  <si>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</si>
  <si>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</si>
  <si>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</si>
  <si>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</si>
  <si>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</si>
  <si>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</si>
  <si>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</si>
  <si>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</si>
  <si>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</si>
  <si>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</si>
  <si>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</si>
  <si>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</si>
  <si>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</si>
  <si>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</si>
  <si>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</si>
  <si>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</si>
  <si>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</si>
  <si>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</si>
  <si>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</si>
  <si>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</si>
  <si>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</si>
  <si>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</si>
  <si>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</si>
  <si>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</si>
  <si>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</si>
  <si>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</si>
  <si>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</si>
  <si>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</si>
  <si>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</si>
  <si>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</si>
  <si>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</si>
  <si>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</si>
  <si>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</si>
  <si>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</si>
  <si>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</si>
  <si>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</si>
  <si>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</si>
  <si>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</si>
  <si>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</si>
  <si>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</si>
  <si>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</si>
  <si>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</si>
  <si>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</si>
  <si>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</si>
  <si>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</si>
  <si>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</si>
  <si>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</si>
  <si>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</si>
  <si>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</si>
  <si>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</si>
  <si>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</si>
  <si>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</si>
  <si>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</si>
  <si>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</si>
  <si>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</si>
  <si>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</si>
  <si>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</si>
  <si>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</si>
  <si>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</si>
  <si>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</si>
  <si>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</si>
  <si>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</si>
  <si>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</si>
  <si>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</si>
  <si>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</si>
  <si>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</si>
  <si>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</si>
  <si>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</si>
  <si>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</si>
  <si>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</si>
  <si>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</si>
  <si>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</si>
  <si>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</si>
  <si>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</si>
  <si>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</si>
  <si>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</si>
  <si>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</si>
  <si>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</si>
  <si>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</si>
  <si>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</si>
  <si>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</si>
  <si>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</si>
  <si>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</si>
  <si>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</si>
  <si>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</si>
  <si>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</si>
  <si>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</si>
  <si>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</si>
  <si>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</si>
  <si>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</si>
  <si>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</si>
  <si>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</si>
  <si>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</si>
  <si>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</si>
  <si>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</si>
  <si>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</si>
  <si>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</si>
  <si>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</si>
  <si>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</si>
  <si>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</si>
  <si>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</si>
  <si>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</si>
  <si>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</si>
  <si>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</si>
  <si>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</si>
  <si>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</si>
  <si>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</si>
  <si>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</si>
  <si>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</si>
  <si>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</si>
  <si>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</si>
  <si>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</si>
  <si>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</si>
  <si>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</si>
  <si>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</si>
  <si>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</si>
  <si>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</si>
  <si>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</si>
  <si>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</si>
  <si>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</si>
  <si>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</si>
  <si>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</si>
  <si>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</si>
  <si>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</si>
  <si>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</si>
  <si>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</si>
  <si>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</si>
  <si>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</si>
  <si>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</si>
  <si>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</si>
  <si>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</si>
  <si>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</si>
  <si>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</si>
  <si>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</si>
  <si>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</si>
  <si>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</si>
  <si>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</si>
  <si>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</si>
  <si>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</si>
  <si>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</si>
  <si>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</si>
  <si>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</si>
  <si>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</si>
  <si>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</si>
  <si>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</si>
  <si>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</si>
  <si>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</si>
  <si>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</si>
  <si>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</si>
  <si>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</si>
  <si>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</si>
  <si>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</si>
  <si>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</si>
  <si>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</si>
  <si>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</si>
  <si>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</si>
  <si>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</si>
  <si>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</si>
  <si>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</si>
  <si>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</si>
  <si>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</si>
  <si>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</si>
  <si>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</si>
  <si>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</si>
  <si>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</si>
  <si>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</si>
  <si>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</si>
  <si>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</si>
  <si>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</si>
  <si>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</si>
  <si>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</si>
  <si>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</si>
  <si>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</si>
  <si>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</si>
  <si>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</si>
  <si>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</si>
  <si>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</si>
  <si>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</si>
  <si>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</si>
  <si>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</si>
  <si>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</si>
  <si>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</si>
  <si>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</si>
  <si>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</si>
  <si>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</si>
  <si>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</si>
  <si>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</si>
  <si>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</si>
  <si>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</si>
  <si>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</si>
  <si>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</si>
  <si>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</si>
  <si>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</si>
  <si>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</si>
  <si>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</si>
  <si>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</si>
  <si>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</si>
  <si>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</si>
  <si>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</si>
  <si>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</si>
  <si>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</si>
  <si>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</si>
  <si>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</si>
  <si>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</si>
  <si>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</si>
  <si>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</si>
  <si>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</si>
  <si>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</si>
  <si>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</si>
  <si>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</si>
  <si>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</si>
  <si>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</si>
  <si>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</si>
  <si>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</si>
  <si>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</si>
  <si>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</si>
  <si>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</si>
  <si>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</si>
  <si>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</si>
  <si>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</si>
  <si>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</si>
  <si>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</si>
  <si>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</si>
  <si>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</si>
  <si>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</si>
  <si>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</si>
  <si>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</si>
  <si>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</si>
  <si>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</si>
  <si>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</si>
  <si>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</si>
  <si>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</si>
  <si>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</si>
  <si>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</si>
  <si>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</si>
  <si>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</si>
  <si>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</si>
  <si>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</si>
  <si>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</si>
  <si>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</si>
  <si>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</si>
  <si>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</si>
  <si>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</si>
  <si>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</si>
  <si>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</si>
  <si>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</si>
  <si>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</si>
  <si>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</si>
  <si>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</si>
  <si>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</si>
  <si>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</si>
  <si>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</si>
  <si>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</si>
  <si>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</si>
  <si>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</si>
  <si>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</si>
  <si>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</si>
  <si>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</si>
  <si>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</si>
  <si>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</si>
  <si>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</si>
  <si>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</si>
  <si>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</si>
  <si>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</si>
  <si>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</si>
  <si>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</si>
  <si>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</si>
  <si>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</si>
  <si>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</si>
  <si>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</si>
  <si>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</si>
  <si>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</si>
  <si>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</si>
  <si>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</si>
  <si>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</si>
  <si>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</si>
  <si>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</si>
  <si>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</si>
  <si>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</si>
  <si>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</si>
  <si>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</si>
  <si>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</si>
  <si>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</si>
  <si>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</si>
  <si>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</si>
  <si>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</si>
  <si>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</si>
  <si>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</si>
  <si>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</si>
  <si>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</si>
  <si>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</si>
  <si>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</si>
  <si>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</si>
  <si>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</si>
  <si>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</si>
  <si>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</si>
  <si>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</si>
  <si>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</si>
  <si>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</si>
  <si>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</si>
  <si>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</si>
  <si>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</si>
  <si>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</si>
  <si>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</si>
  <si>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</si>
  <si>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</si>
  <si>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</si>
  <si>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</si>
  <si>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</si>
  <si>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</si>
  <si>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</si>
  <si>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</si>
  <si>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</si>
  <si>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</si>
  <si>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</si>
  <si>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</si>
  <si>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</si>
  <si>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</si>
  <si>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</si>
  <si>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</si>
  <si>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</si>
  <si>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</si>
  <si>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</si>
  <si>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</si>
  <si>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</si>
  <si>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</si>
  <si>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</si>
  <si>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</si>
  <si>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</si>
  <si>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</si>
  <si>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</si>
  <si>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</si>
  <si>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</si>
  <si>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</si>
  <si>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</si>
  <si>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</si>
  <si>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</si>
  <si>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</si>
  <si>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</si>
  <si>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</si>
  <si>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</si>
  <si>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</si>
  <si>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</si>
  <si>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</si>
  <si>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</si>
  <si>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</si>
  <si>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</si>
  <si>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</si>
  <si>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</si>
  <si>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</si>
  <si>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</si>
  <si>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</si>
  <si>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</si>
  <si>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</si>
  <si>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</si>
  <si>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</si>
  <si>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</si>
  <si>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</si>
  <si>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</si>
  <si>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</si>
  <si>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</si>
  <si>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</si>
  <si>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</si>
  <si>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</si>
  <si>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</si>
  <si>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</si>
  <si>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</si>
  <si>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</si>
  <si>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</si>
  <si>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</si>
  <si>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</si>
  <si>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</si>
  <si>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</si>
  <si>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</si>
  <si>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</si>
  <si>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</si>
  <si>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</si>
  <si>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</si>
  <si>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</si>
  <si>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</si>
  <si>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</si>
  <si>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</si>
  <si>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</si>
  <si>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</si>
  <si>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</si>
  <si>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</si>
  <si>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</si>
  <si>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</si>
  <si>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</si>
  <si>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</si>
  <si>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</si>
  <si>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</si>
  <si>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</si>
  <si>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</si>
  <si>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</si>
  <si>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</si>
  <si>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</si>
  <si>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</si>
  <si>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</si>
  <si>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</si>
  <si>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</si>
  <si>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</si>
  <si>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</si>
  <si>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</si>
  <si>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</si>
  <si>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</si>
  <si>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</si>
  <si>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</si>
  <si>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</si>
  <si>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</si>
  <si>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</si>
  <si>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</si>
  <si>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</si>
  <si>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</si>
  <si>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</si>
  <si>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</si>
  <si>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</si>
  <si>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</si>
  <si>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3131-523987,84
3210-3032220,84</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</si>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</sst>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0" fontId="3" fillId="0" borderId="26"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27"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X3" sqref="X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603</v>
      </c>
      <c r="B2" s="303" t="s">
        <v>604</v>
      </c>
      <c r="C2" s="287"/>
      <c r="D2" s="287"/>
      <c r="E2" s="287"/>
      <c r="F2" s="287"/>
      <c r="G2" s="287"/>
      <c r="H2" s="287"/>
      <c r="I2" s="304"/>
      <c r="J2" s="150" t="s">
        <v>605</v>
      </c>
      <c r="K2" s="148" t="s">
        <v>606</v>
      </c>
      <c r="L2" s="148" t="s">
        <v>607</v>
      </c>
      <c r="M2" s="151" t="s">
        <v>608</v>
      </c>
      <c r="N2" s="151" t="s">
        <v>609</v>
      </c>
      <c r="O2" s="151" t="s">
        <v>610</v>
      </c>
      <c r="P2" s="151" t="s">
        <v>611</v>
      </c>
      <c r="Q2" s="151" t="s">
        <v>612</v>
      </c>
      <c r="R2" s="151" t="s">
        <v>471</v>
      </c>
      <c r="S2" s="151" t="s">
        <v>547</v>
      </c>
      <c r="T2" s="151" t="s">
        <v>548</v>
      </c>
      <c r="U2" s="151" t="s">
        <v>492</v>
      </c>
      <c r="V2" s="151" t="s">
        <v>493</v>
      </c>
      <c r="W2" s="152" t="s">
        <v>299</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1" t="s">
        <v>77</v>
      </c>
      <c r="C3" s="312"/>
      <c r="D3" s="312"/>
      <c r="E3" s="312"/>
      <c r="F3" s="312"/>
      <c r="G3" s="312"/>
      <c r="H3" s="312"/>
      <c r="I3" s="313"/>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f>
        <v>618961.0000000002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1" t="s">
        <v>859</v>
      </c>
      <c r="C4" s="312"/>
      <c r="D4" s="312"/>
      <c r="E4" s="312"/>
      <c r="F4" s="312"/>
      <c r="G4" s="312"/>
      <c r="H4" s="312"/>
      <c r="I4" s="313"/>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f>
        <v>8134415.59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1" t="s">
        <v>860</v>
      </c>
      <c r="C5" s="312"/>
      <c r="D5" s="312"/>
      <c r="E5" s="312"/>
      <c r="F5" s="312"/>
      <c r="G5" s="312"/>
      <c r="H5" s="312"/>
      <c r="I5" s="313"/>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f>
        <v>2272491.5300000003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4" t="s">
        <v>494</v>
      </c>
      <c r="C6" s="315"/>
      <c r="D6" s="315"/>
      <c r="E6" s="315"/>
      <c r="F6" s="315"/>
      <c r="G6" s="315"/>
      <c r="H6" s="315"/>
      <c r="I6" s="316"/>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11025868.120000001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4" t="s">
        <v>861</v>
      </c>
      <c r="C7" s="295"/>
      <c r="D7" s="295"/>
      <c r="E7" s="295"/>
      <c r="F7" s="295"/>
      <c r="G7" s="295"/>
      <c r="H7" s="295"/>
      <c r="I7" s="296"/>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70000</v>
      </c>
      <c r="W7" s="9">
        <f>500878.57+20883789.29+13803976.79+7506813.9+1188+2189400+1188+1247644.51+22646.7+28851.3+18786615.38+13748459.7+35243.6+1584+10000000+5000000+2324380.75+29921.9+7494419.5+32123.7+700000+880000+366400+133000+650000+1431000+4419600+54722.5+999550.9+9098.6-1214286.78</f>
        <v>112068210.81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4" t="s">
        <v>550</v>
      </c>
      <c r="C8" s="360"/>
      <c r="D8" s="360"/>
      <c r="E8" s="360"/>
      <c r="F8" s="360"/>
      <c r="G8" s="360"/>
      <c r="H8" s="360"/>
      <c r="I8" s="361"/>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4" t="s">
        <v>862</v>
      </c>
      <c r="C9" s="295"/>
      <c r="D9" s="295"/>
      <c r="E9" s="295"/>
      <c r="F9" s="295"/>
      <c r="G9" s="295"/>
      <c r="H9" s="295"/>
      <c r="I9" s="296"/>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7" t="s">
        <v>872</v>
      </c>
      <c r="C10" s="318"/>
      <c r="D10" s="318"/>
      <c r="E10" s="318"/>
      <c r="F10" s="318"/>
      <c r="G10" s="318"/>
      <c r="H10" s="318"/>
      <c r="I10" s="319"/>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0" t="s">
        <v>495</v>
      </c>
      <c r="C11" s="321"/>
      <c r="D11" s="321"/>
      <c r="E11" s="321"/>
      <c r="F11" s="321"/>
      <c r="G11" s="321"/>
      <c r="H11" s="321"/>
      <c r="I11" s="322"/>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5404272</v>
      </c>
      <c r="W11" s="163">
        <f t="shared" si="1"/>
        <v>124108020.23</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8" t="s">
        <v>496</v>
      </c>
      <c r="C12" s="309"/>
      <c r="D12" s="309"/>
      <c r="E12" s="309"/>
      <c r="F12" s="309"/>
      <c r="G12" s="309"/>
      <c r="H12" s="309"/>
      <c r="I12" s="310"/>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5" t="s">
        <v>301</v>
      </c>
      <c r="C13" s="306"/>
      <c r="D13" s="306"/>
      <c r="E13" s="306"/>
      <c r="F13" s="306"/>
      <c r="G13" s="306"/>
      <c r="H13" s="306"/>
      <c r="I13" s="307"/>
      <c r="J13" s="37">
        <f>J12+W11-W911-J14</f>
        <v>35.59000001847744</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0" t="s">
        <v>302</v>
      </c>
      <c r="C14" s="351"/>
      <c r="D14" s="351"/>
      <c r="E14" s="351"/>
      <c r="F14" s="351"/>
      <c r="G14" s="351"/>
      <c r="H14" s="351"/>
      <c r="I14" s="352"/>
      <c r="J14" s="37">
        <f>50132318.17+85000000+31800508.45-5000000+8500000-1400000-630000-755000-5200000-1660000-2220000-229000-1900000-1110000-691000-1417000-1740000-326000-3586000-1283000-6640000-91000-485000-5418000-2566000-695500-607000-1960000-1031500-541500-244800</f>
        <v>126005526.62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75</v>
      </c>
      <c r="C16" s="187" t="s">
        <v>68</v>
      </c>
      <c r="D16" s="187" t="s">
        <v>670</v>
      </c>
      <c r="E16" s="174" t="s">
        <v>199</v>
      </c>
      <c r="F16" s="174" t="s">
        <v>70</v>
      </c>
      <c r="G16" s="174" t="s">
        <v>71</v>
      </c>
      <c r="H16" s="174" t="s">
        <v>72</v>
      </c>
      <c r="I16" s="174" t="s">
        <v>76</v>
      </c>
      <c r="J16" s="176" t="s">
        <v>18</v>
      </c>
      <c r="K16" s="77" t="s">
        <v>681</v>
      </c>
      <c r="L16" s="77" t="s">
        <v>682</v>
      </c>
      <c r="M16" s="77" t="s">
        <v>683</v>
      </c>
      <c r="N16" s="77" t="s">
        <v>616</v>
      </c>
      <c r="O16" s="77" t="s">
        <v>617</v>
      </c>
      <c r="P16" s="77" t="s">
        <v>618</v>
      </c>
      <c r="Q16" s="77" t="s">
        <v>619</v>
      </c>
      <c r="R16" s="77" t="s">
        <v>620</v>
      </c>
      <c r="S16" s="77" t="s">
        <v>621</v>
      </c>
      <c r="T16" s="77" t="s">
        <v>622</v>
      </c>
      <c r="U16" s="77" t="s">
        <v>623</v>
      </c>
      <c r="V16" s="77" t="s">
        <v>624</v>
      </c>
      <c r="W16" s="77" t="s">
        <v>300</v>
      </c>
      <c r="X16" s="77" t="s">
        <v>497</v>
      </c>
    </row>
    <row r="17" spans="1:24" s="8" customFormat="1" ht="15.75">
      <c r="A17" s="7"/>
      <c r="B17" s="188"/>
      <c r="C17" s="189"/>
      <c r="D17" s="325" t="s">
        <v>47</v>
      </c>
      <c r="E17" s="326"/>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1664645.04</v>
      </c>
      <c r="X17" s="60">
        <f>K17+L17+M17+N17+O17+P17+Q17+R17+S17+T17+U17-W17</f>
        <v>3732307.09</v>
      </c>
    </row>
    <row r="18" spans="1:24" s="8" customFormat="1" ht="15.75">
      <c r="A18" s="7"/>
      <c r="B18" s="327" t="s">
        <v>69</v>
      </c>
      <c r="C18" s="327" t="s">
        <v>67</v>
      </c>
      <c r="D18" s="299" t="s">
        <v>763</v>
      </c>
      <c r="E18" s="191"/>
      <c r="F18" s="55"/>
      <c r="G18" s="56"/>
      <c r="H18" s="213"/>
      <c r="I18" s="246"/>
      <c r="J18" s="192">
        <f>SUM(J19:J32)</f>
        <v>3541952.13</v>
      </c>
      <c r="K18" s="192">
        <f aca="true" t="shared" si="3" ref="K18:W18">SUM(K19:K32)</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670000</v>
      </c>
      <c r="V18" s="192">
        <f t="shared" si="3"/>
        <v>100000</v>
      </c>
      <c r="W18" s="192">
        <f t="shared" si="3"/>
        <v>1308009.51</v>
      </c>
      <c r="X18" s="184">
        <f aca="true" t="shared" si="4" ref="X18:X88">K18+L18+M18+N18+O18+P18+Q18+R18+S18+T18+U18-W18</f>
        <v>2133942.62</v>
      </c>
    </row>
    <row r="19" spans="1:27" s="8" customFormat="1" ht="63">
      <c r="A19" s="7"/>
      <c r="B19" s="327"/>
      <c r="C19" s="327"/>
      <c r="D19" s="300"/>
      <c r="E19" s="54" t="s">
        <v>764</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186</v>
      </c>
    </row>
    <row r="20" spans="1:24" s="8" customFormat="1" ht="47.25">
      <c r="A20" s="7"/>
      <c r="B20" s="327"/>
      <c r="C20" s="327"/>
      <c r="D20" s="300"/>
      <c r="E20" s="28" t="s">
        <v>6</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7"/>
      <c r="C21" s="327"/>
      <c r="D21" s="300"/>
      <c r="E21" s="28" t="s">
        <v>7</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4"/>
        <v>0</v>
      </c>
    </row>
    <row r="22" spans="1:24" s="8" customFormat="1" ht="47.25" hidden="1">
      <c r="A22" s="7"/>
      <c r="B22" s="327"/>
      <c r="C22" s="327"/>
      <c r="D22" s="300"/>
      <c r="E22" s="28" t="s">
        <v>8</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7"/>
      <c r="C23" s="327"/>
      <c r="D23" s="300"/>
      <c r="E23" s="28" t="s">
        <v>9</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4"/>
        <v>169689</v>
      </c>
    </row>
    <row r="24" spans="1:24" s="8" customFormat="1" ht="78.75">
      <c r="A24" s="7"/>
      <c r="B24" s="327"/>
      <c r="C24" s="327"/>
      <c r="D24" s="300"/>
      <c r="E24" s="28" t="s">
        <v>491</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4"/>
        <v>0</v>
      </c>
    </row>
    <row r="25" spans="1:24" s="8" customFormat="1" ht="63">
      <c r="A25" s="7"/>
      <c r="B25" s="327"/>
      <c r="C25" s="327"/>
      <c r="D25" s="300"/>
      <c r="E25" s="28" t="s">
        <v>778</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v>489401.64</v>
      </c>
      <c r="X25" s="40">
        <f t="shared" si="4"/>
        <v>534798.36</v>
      </c>
    </row>
    <row r="26" spans="1:24" s="8" customFormat="1" ht="63">
      <c r="A26" s="7"/>
      <c r="B26" s="327"/>
      <c r="C26" s="327"/>
      <c r="D26" s="300"/>
      <c r="E26" s="28" t="s">
        <v>483</v>
      </c>
      <c r="F26" s="55"/>
      <c r="G26" s="56"/>
      <c r="H26" s="213"/>
      <c r="I26" s="247">
        <v>3110</v>
      </c>
      <c r="J26" s="49">
        <v>8400</v>
      </c>
      <c r="K26" s="49"/>
      <c r="L26" s="49"/>
      <c r="M26" s="49"/>
      <c r="N26" s="49"/>
      <c r="O26" s="49"/>
      <c r="P26" s="49"/>
      <c r="Q26" s="49"/>
      <c r="R26" s="49"/>
      <c r="S26" s="49"/>
      <c r="T26" s="49"/>
      <c r="U26" s="49">
        <v>8400</v>
      </c>
      <c r="V26" s="49"/>
      <c r="W26" s="49">
        <v>8400</v>
      </c>
      <c r="X26" s="40">
        <f t="shared" si="4"/>
        <v>0</v>
      </c>
    </row>
    <row r="27" spans="1:24" s="8" customFormat="1" ht="47.25">
      <c r="A27" s="7"/>
      <c r="B27" s="327"/>
      <c r="C27" s="327"/>
      <c r="D27" s="300"/>
      <c r="E27" s="28" t="s">
        <v>779</v>
      </c>
      <c r="F27" s="55"/>
      <c r="G27" s="56"/>
      <c r="H27" s="213"/>
      <c r="I27" s="247">
        <v>3132</v>
      </c>
      <c r="J27" s="49">
        <v>25000</v>
      </c>
      <c r="K27" s="49"/>
      <c r="L27" s="49"/>
      <c r="M27" s="49"/>
      <c r="N27" s="49"/>
      <c r="O27" s="49"/>
      <c r="P27" s="49"/>
      <c r="Q27" s="49"/>
      <c r="R27" s="49"/>
      <c r="S27" s="49">
        <v>25000</v>
      </c>
      <c r="T27" s="49"/>
      <c r="U27" s="49"/>
      <c r="V27" s="49"/>
      <c r="W27" s="49"/>
      <c r="X27" s="40">
        <f t="shared" si="4"/>
        <v>25000</v>
      </c>
    </row>
    <row r="28" spans="1:24" s="8" customFormat="1" ht="47.25">
      <c r="A28" s="7"/>
      <c r="B28" s="327"/>
      <c r="C28" s="327"/>
      <c r="D28" s="300"/>
      <c r="E28" s="28" t="s">
        <v>355</v>
      </c>
      <c r="F28" s="55"/>
      <c r="G28" s="56"/>
      <c r="H28" s="213"/>
      <c r="I28" s="247">
        <v>3132</v>
      </c>
      <c r="J28" s="49">
        <v>340000</v>
      </c>
      <c r="K28" s="49"/>
      <c r="L28" s="49"/>
      <c r="M28" s="49"/>
      <c r="N28" s="49"/>
      <c r="O28" s="49"/>
      <c r="P28" s="49"/>
      <c r="Q28" s="49"/>
      <c r="R28" s="49"/>
      <c r="S28" s="49">
        <v>340000</v>
      </c>
      <c r="T28" s="49"/>
      <c r="U28" s="49"/>
      <c r="V28" s="49"/>
      <c r="W28" s="49">
        <v>167004.74</v>
      </c>
      <c r="X28" s="40">
        <f t="shared" si="4"/>
        <v>172995.26</v>
      </c>
    </row>
    <row r="29" spans="1:24" s="8" customFormat="1" ht="47.25">
      <c r="A29" s="7"/>
      <c r="B29" s="327"/>
      <c r="C29" s="327"/>
      <c r="D29" s="300"/>
      <c r="E29" s="28" t="s">
        <v>484</v>
      </c>
      <c r="F29" s="55"/>
      <c r="G29" s="56"/>
      <c r="H29" s="213"/>
      <c r="I29" s="247">
        <v>3132</v>
      </c>
      <c r="J29" s="49">
        <v>89000</v>
      </c>
      <c r="K29" s="49"/>
      <c r="L29" s="49"/>
      <c r="M29" s="49"/>
      <c r="N29" s="49"/>
      <c r="O29" s="49"/>
      <c r="P29" s="49"/>
      <c r="Q29" s="49"/>
      <c r="R29" s="49"/>
      <c r="S29" s="49"/>
      <c r="T29" s="49"/>
      <c r="U29" s="49">
        <v>89000</v>
      </c>
      <c r="V29" s="49"/>
      <c r="W29" s="49"/>
      <c r="X29" s="40">
        <f t="shared" si="4"/>
        <v>89000</v>
      </c>
    </row>
    <row r="30" spans="1:24" s="8" customFormat="1" ht="47.25">
      <c r="A30" s="7"/>
      <c r="B30" s="327"/>
      <c r="C30" s="327"/>
      <c r="D30" s="300"/>
      <c r="E30" s="12" t="s">
        <v>281</v>
      </c>
      <c r="F30" s="55"/>
      <c r="G30" s="56"/>
      <c r="H30" s="213"/>
      <c r="I30" s="247">
        <v>3132</v>
      </c>
      <c r="J30" s="49">
        <v>700000</v>
      </c>
      <c r="K30" s="49"/>
      <c r="L30" s="49"/>
      <c r="M30" s="49"/>
      <c r="N30" s="49"/>
      <c r="O30" s="49"/>
      <c r="P30" s="49"/>
      <c r="Q30" s="49"/>
      <c r="R30" s="49"/>
      <c r="S30" s="49"/>
      <c r="T30" s="49"/>
      <c r="U30" s="49">
        <v>600000</v>
      </c>
      <c r="V30" s="49">
        <v>100000</v>
      </c>
      <c r="W30" s="49"/>
      <c r="X30" s="40">
        <f t="shared" si="4"/>
        <v>600000</v>
      </c>
    </row>
    <row r="31" spans="1:24" s="8" customFormat="1" ht="15.75">
      <c r="A31" s="7"/>
      <c r="B31" s="327"/>
      <c r="C31" s="327"/>
      <c r="D31" s="300"/>
      <c r="E31" s="12" t="s">
        <v>282</v>
      </c>
      <c r="F31" s="55"/>
      <c r="G31" s="56"/>
      <c r="H31" s="213"/>
      <c r="I31" s="247">
        <v>3110</v>
      </c>
      <c r="J31" s="49">
        <v>20000</v>
      </c>
      <c r="K31" s="49"/>
      <c r="L31" s="49"/>
      <c r="M31" s="49"/>
      <c r="N31" s="49"/>
      <c r="O31" s="49"/>
      <c r="P31" s="49"/>
      <c r="Q31" s="49"/>
      <c r="R31" s="49"/>
      <c r="S31" s="49"/>
      <c r="T31" s="49"/>
      <c r="U31" s="49">
        <v>20000</v>
      </c>
      <c r="V31" s="49"/>
      <c r="W31" s="49"/>
      <c r="X31" s="40">
        <f t="shared" si="4"/>
        <v>20000</v>
      </c>
    </row>
    <row r="32" spans="1:24" s="8" customFormat="1" ht="94.5">
      <c r="A32" s="7"/>
      <c r="B32" s="327"/>
      <c r="C32" s="327"/>
      <c r="D32" s="301"/>
      <c r="E32" s="28" t="s">
        <v>587</v>
      </c>
      <c r="F32" s="55"/>
      <c r="G32" s="56"/>
      <c r="H32" s="213"/>
      <c r="I32" s="247">
        <v>3132</v>
      </c>
      <c r="J32" s="49">
        <v>200000</v>
      </c>
      <c r="K32" s="49"/>
      <c r="L32" s="49"/>
      <c r="M32" s="49"/>
      <c r="N32" s="49"/>
      <c r="O32" s="49">
        <v>200000</v>
      </c>
      <c r="P32" s="49"/>
      <c r="Q32" s="49"/>
      <c r="R32" s="49"/>
      <c r="S32" s="49"/>
      <c r="T32" s="49"/>
      <c r="U32" s="49"/>
      <c r="V32" s="49"/>
      <c r="W32" s="49"/>
      <c r="X32" s="40">
        <f t="shared" si="4"/>
        <v>200000</v>
      </c>
    </row>
    <row r="33" spans="1:24" s="8" customFormat="1" ht="15.75">
      <c r="A33" s="7"/>
      <c r="B33" s="357" t="s">
        <v>202</v>
      </c>
      <c r="C33" s="357" t="s">
        <v>710</v>
      </c>
      <c r="D33" s="356" t="s">
        <v>211</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356635.52999999997</v>
      </c>
      <c r="X33" s="184">
        <f t="shared" si="4"/>
        <v>1598364.47</v>
      </c>
    </row>
    <row r="34" spans="1:24" s="8" customFormat="1" ht="94.5">
      <c r="A34" s="7"/>
      <c r="B34" s="358"/>
      <c r="C34" s="358"/>
      <c r="D34" s="356"/>
      <c r="E34" s="28" t="s">
        <v>8</v>
      </c>
      <c r="F34" s="55"/>
      <c r="G34" s="56"/>
      <c r="H34" s="55"/>
      <c r="I34" s="284" t="s">
        <v>916</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4"/>
        <v>565364.47</v>
      </c>
    </row>
    <row r="35" spans="1:24" s="8" customFormat="1" ht="94.5">
      <c r="A35" s="7"/>
      <c r="B35" s="358"/>
      <c r="C35" s="358"/>
      <c r="D35" s="356"/>
      <c r="E35" s="285" t="s">
        <v>119</v>
      </c>
      <c r="F35" s="55"/>
      <c r="G35" s="56"/>
      <c r="H35" s="55"/>
      <c r="I35" s="284">
        <v>3110</v>
      </c>
      <c r="J35" s="49">
        <v>300000</v>
      </c>
      <c r="K35" s="49"/>
      <c r="L35" s="49"/>
      <c r="M35" s="49"/>
      <c r="N35" s="49"/>
      <c r="O35" s="49"/>
      <c r="P35" s="49"/>
      <c r="Q35" s="49"/>
      <c r="R35" s="49"/>
      <c r="S35" s="49"/>
      <c r="T35" s="49">
        <v>300000</v>
      </c>
      <c r="U35" s="49"/>
      <c r="V35" s="49"/>
      <c r="W35" s="49"/>
      <c r="X35" s="40">
        <f t="shared" si="4"/>
        <v>300000</v>
      </c>
    </row>
    <row r="36" spans="1:24" s="8" customFormat="1" ht="31.5">
      <c r="A36" s="7"/>
      <c r="B36" s="359"/>
      <c r="C36" s="359"/>
      <c r="D36" s="356"/>
      <c r="E36" s="285" t="s">
        <v>354</v>
      </c>
      <c r="F36" s="55"/>
      <c r="G36" s="56"/>
      <c r="H36" s="55"/>
      <c r="I36" s="247">
        <v>3132</v>
      </c>
      <c r="J36" s="49">
        <v>733000</v>
      </c>
      <c r="K36" s="49"/>
      <c r="L36" s="49"/>
      <c r="M36" s="49"/>
      <c r="N36" s="49"/>
      <c r="O36" s="49"/>
      <c r="P36" s="49"/>
      <c r="Q36" s="49"/>
      <c r="R36" s="49"/>
      <c r="S36" s="49">
        <v>733000</v>
      </c>
      <c r="T36" s="49"/>
      <c r="U36" s="49"/>
      <c r="V36" s="49"/>
      <c r="W36" s="49"/>
      <c r="X36" s="40">
        <f t="shared" si="4"/>
        <v>733000</v>
      </c>
    </row>
    <row r="37" spans="1:24" s="8" customFormat="1" ht="15.75">
      <c r="A37" s="7"/>
      <c r="B37" s="193"/>
      <c r="C37" s="193"/>
      <c r="D37" s="328" t="s">
        <v>588</v>
      </c>
      <c r="E37" s="329"/>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4"/>
        <v>127336</v>
      </c>
    </row>
    <row r="38" spans="1:24" s="8" customFormat="1" ht="15.75">
      <c r="A38" s="7"/>
      <c r="B38" s="353" t="s">
        <v>69</v>
      </c>
      <c r="C38" s="353" t="s">
        <v>67</v>
      </c>
      <c r="D38" s="299" t="s">
        <v>763</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4"/>
        <v>127336</v>
      </c>
    </row>
    <row r="39" spans="1:24" s="8" customFormat="1" ht="173.25">
      <c r="A39" s="7"/>
      <c r="B39" s="354"/>
      <c r="C39" s="354"/>
      <c r="D39" s="300"/>
      <c r="E39" s="28" t="s">
        <v>65</v>
      </c>
      <c r="F39" s="57"/>
      <c r="G39" s="61"/>
      <c r="H39" s="214"/>
      <c r="I39" s="247">
        <v>3110</v>
      </c>
      <c r="J39" s="49">
        <v>25000</v>
      </c>
      <c r="K39" s="49"/>
      <c r="L39" s="49"/>
      <c r="M39" s="49"/>
      <c r="N39" s="49">
        <v>25000</v>
      </c>
      <c r="O39" s="49"/>
      <c r="P39" s="49"/>
      <c r="Q39" s="49"/>
      <c r="R39" s="49"/>
      <c r="S39" s="49"/>
      <c r="T39" s="49"/>
      <c r="U39" s="49"/>
      <c r="V39" s="49"/>
      <c r="W39" s="49"/>
      <c r="X39" s="40">
        <f t="shared" si="4"/>
        <v>25000</v>
      </c>
    </row>
    <row r="40" spans="1:24" s="8" customFormat="1" ht="63">
      <c r="A40" s="7"/>
      <c r="B40" s="354"/>
      <c r="C40" s="354"/>
      <c r="D40" s="300"/>
      <c r="E40" s="12" t="s">
        <v>283</v>
      </c>
      <c r="F40" s="57"/>
      <c r="G40" s="61"/>
      <c r="H40" s="214"/>
      <c r="I40" s="247">
        <v>3110</v>
      </c>
      <c r="J40" s="49">
        <v>85100</v>
      </c>
      <c r="K40" s="49"/>
      <c r="L40" s="49"/>
      <c r="M40" s="49"/>
      <c r="N40" s="49"/>
      <c r="O40" s="49"/>
      <c r="P40" s="49"/>
      <c r="Q40" s="49"/>
      <c r="R40" s="49"/>
      <c r="S40" s="49"/>
      <c r="T40" s="49"/>
      <c r="U40" s="49">
        <v>85100</v>
      </c>
      <c r="V40" s="49"/>
      <c r="W40" s="49"/>
      <c r="X40" s="40">
        <f t="shared" si="4"/>
        <v>85100</v>
      </c>
    </row>
    <row r="41" spans="1:24" s="8" customFormat="1" ht="63">
      <c r="A41" s="7"/>
      <c r="B41" s="354"/>
      <c r="C41" s="354"/>
      <c r="D41" s="300"/>
      <c r="E41" s="12" t="s">
        <v>284</v>
      </c>
      <c r="F41" s="57"/>
      <c r="G41" s="61"/>
      <c r="H41" s="214"/>
      <c r="I41" s="247">
        <v>3110</v>
      </c>
      <c r="J41" s="49">
        <v>9200</v>
      </c>
      <c r="K41" s="49"/>
      <c r="L41" s="49"/>
      <c r="M41" s="49"/>
      <c r="N41" s="49"/>
      <c r="O41" s="49"/>
      <c r="P41" s="49"/>
      <c r="Q41" s="49"/>
      <c r="R41" s="49"/>
      <c r="S41" s="49"/>
      <c r="T41" s="49"/>
      <c r="U41" s="49">
        <v>9200</v>
      </c>
      <c r="V41" s="49"/>
      <c r="W41" s="49"/>
      <c r="X41" s="40">
        <f t="shared" si="4"/>
        <v>9200</v>
      </c>
    </row>
    <row r="42" spans="1:24" s="8" customFormat="1" ht="15.75">
      <c r="A42" s="7"/>
      <c r="B42" s="354"/>
      <c r="C42" s="354"/>
      <c r="D42" s="300"/>
      <c r="E42" s="12" t="s">
        <v>285</v>
      </c>
      <c r="F42" s="57"/>
      <c r="G42" s="61"/>
      <c r="H42" s="214"/>
      <c r="I42" s="247">
        <v>3110</v>
      </c>
      <c r="J42" s="49">
        <v>8000</v>
      </c>
      <c r="K42" s="49"/>
      <c r="L42" s="49"/>
      <c r="M42" s="49"/>
      <c r="N42" s="49"/>
      <c r="O42" s="49"/>
      <c r="P42" s="49"/>
      <c r="Q42" s="49"/>
      <c r="R42" s="49"/>
      <c r="S42" s="49"/>
      <c r="T42" s="49"/>
      <c r="U42" s="49">
        <v>8000</v>
      </c>
      <c r="V42" s="49"/>
      <c r="W42" s="49"/>
      <c r="X42" s="40">
        <f t="shared" si="4"/>
        <v>8000</v>
      </c>
    </row>
    <row r="43" spans="1:24" s="8" customFormat="1" ht="31.5">
      <c r="A43" s="7"/>
      <c r="B43" s="354"/>
      <c r="C43" s="354"/>
      <c r="D43" s="300"/>
      <c r="E43" s="31" t="s">
        <v>589</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4"/>
        <v>36</v>
      </c>
    </row>
    <row r="44" spans="1:24" s="8" customFormat="1" ht="47.25" hidden="1">
      <c r="A44" s="7"/>
      <c r="B44" s="354"/>
      <c r="C44" s="354"/>
      <c r="D44" s="300"/>
      <c r="E44" s="31" t="s">
        <v>795</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4"/>
        <v>0</v>
      </c>
    </row>
    <row r="45" spans="1:24" s="8" customFormat="1" ht="31.5" hidden="1">
      <c r="A45" s="7"/>
      <c r="B45" s="355"/>
      <c r="C45" s="355"/>
      <c r="D45" s="301"/>
      <c r="E45" s="31" t="s">
        <v>796</v>
      </c>
      <c r="F45" s="55"/>
      <c r="G45" s="56"/>
      <c r="H45" s="213"/>
      <c r="I45" s="247">
        <v>3110</v>
      </c>
      <c r="J45" s="62">
        <f>30000-30000</f>
        <v>0</v>
      </c>
      <c r="K45" s="49"/>
      <c r="L45" s="49"/>
      <c r="M45" s="49"/>
      <c r="N45" s="49"/>
      <c r="O45" s="49"/>
      <c r="P45" s="49"/>
      <c r="Q45" s="49"/>
      <c r="R45" s="49"/>
      <c r="S45" s="49"/>
      <c r="T45" s="49">
        <v>30000</v>
      </c>
      <c r="U45" s="49">
        <v>-30000</v>
      </c>
      <c r="V45" s="49"/>
      <c r="W45" s="49"/>
      <c r="X45" s="40">
        <f t="shared" si="4"/>
        <v>0</v>
      </c>
    </row>
    <row r="46" spans="2:24" ht="15.75">
      <c r="B46" s="194"/>
      <c r="C46" s="195"/>
      <c r="D46" s="325" t="s">
        <v>250</v>
      </c>
      <c r="E46" s="326"/>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703937.65</v>
      </c>
      <c r="V46" s="198">
        <f t="shared" si="8"/>
        <v>2499000</v>
      </c>
      <c r="W46" s="198">
        <f t="shared" si="8"/>
        <v>34536678.28</v>
      </c>
      <c r="X46" s="60">
        <f t="shared" si="4"/>
        <v>25588033.660000004</v>
      </c>
    </row>
    <row r="47" spans="2:24" ht="15.75">
      <c r="B47" s="290" t="s">
        <v>203</v>
      </c>
      <c r="C47" s="290" t="s">
        <v>765</v>
      </c>
      <c r="D47" s="299" t="s">
        <v>169</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-122500</v>
      </c>
      <c r="V47" s="185">
        <f t="shared" si="9"/>
        <v>210000</v>
      </c>
      <c r="W47" s="185">
        <f t="shared" si="9"/>
        <v>15505888.719999997</v>
      </c>
      <c r="X47" s="184">
        <f t="shared" si="4"/>
        <v>7310377.800000003</v>
      </c>
    </row>
    <row r="48" spans="2:24" ht="63">
      <c r="B48" s="291"/>
      <c r="C48" s="291"/>
      <c r="D48" s="300"/>
      <c r="E48" s="267" t="s">
        <v>712</v>
      </c>
      <c r="F48" s="45"/>
      <c r="G48" s="46"/>
      <c r="H48" s="216"/>
      <c r="I48" s="249"/>
      <c r="J48" s="45">
        <f>J49</f>
        <v>3391.57</v>
      </c>
      <c r="K48" s="49"/>
      <c r="L48" s="45">
        <f>L49</f>
        <v>3391.57</v>
      </c>
      <c r="M48" s="49"/>
      <c r="N48" s="49"/>
      <c r="O48" s="49"/>
      <c r="P48" s="49"/>
      <c r="Q48" s="49"/>
      <c r="R48" s="49"/>
      <c r="S48" s="49"/>
      <c r="T48" s="49"/>
      <c r="U48" s="49"/>
      <c r="V48" s="49"/>
      <c r="W48" s="49">
        <f>W49</f>
        <v>3391.57</v>
      </c>
      <c r="X48" s="40">
        <f t="shared" si="4"/>
        <v>0</v>
      </c>
    </row>
    <row r="49" spans="2:24" ht="31.5">
      <c r="B49" s="291"/>
      <c r="C49" s="291"/>
      <c r="D49" s="300"/>
      <c r="E49" s="272" t="s">
        <v>766</v>
      </c>
      <c r="F49" s="45"/>
      <c r="G49" s="46"/>
      <c r="H49" s="216"/>
      <c r="I49" s="249">
        <v>3132</v>
      </c>
      <c r="J49" s="9">
        <v>3391.57</v>
      </c>
      <c r="K49" s="49"/>
      <c r="L49" s="9">
        <v>3391.57</v>
      </c>
      <c r="M49" s="49"/>
      <c r="N49" s="49"/>
      <c r="O49" s="49"/>
      <c r="P49" s="49"/>
      <c r="Q49" s="49"/>
      <c r="R49" s="49"/>
      <c r="S49" s="49"/>
      <c r="T49" s="49"/>
      <c r="U49" s="49"/>
      <c r="V49" s="49"/>
      <c r="W49" s="49">
        <v>3391.57</v>
      </c>
      <c r="X49" s="40">
        <f t="shared" si="4"/>
        <v>0</v>
      </c>
    </row>
    <row r="50" spans="2:24" ht="31.5">
      <c r="B50" s="291"/>
      <c r="C50" s="291"/>
      <c r="D50" s="300"/>
      <c r="E50" s="267" t="s">
        <v>78</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4"/>
        <v>0</v>
      </c>
    </row>
    <row r="51" spans="2:24" ht="47.25">
      <c r="B51" s="291"/>
      <c r="C51" s="291"/>
      <c r="D51" s="300"/>
      <c r="E51" s="268" t="s">
        <v>791</v>
      </c>
      <c r="F51" s="45"/>
      <c r="G51" s="46"/>
      <c r="H51" s="216"/>
      <c r="I51" s="249">
        <v>3132</v>
      </c>
      <c r="J51" s="9">
        <v>4138.8</v>
      </c>
      <c r="K51" s="49"/>
      <c r="L51" s="9">
        <v>4138.8</v>
      </c>
      <c r="M51" s="49"/>
      <c r="N51" s="49"/>
      <c r="O51" s="49"/>
      <c r="P51" s="49"/>
      <c r="Q51" s="49"/>
      <c r="R51" s="49"/>
      <c r="S51" s="49"/>
      <c r="T51" s="49"/>
      <c r="U51" s="49"/>
      <c r="V51" s="49"/>
      <c r="W51" s="49">
        <v>4138.8</v>
      </c>
      <c r="X51" s="40">
        <f t="shared" si="4"/>
        <v>0</v>
      </c>
    </row>
    <row r="52" spans="2:24" ht="47.25">
      <c r="B52" s="291"/>
      <c r="C52" s="291"/>
      <c r="D52" s="300"/>
      <c r="E52" s="268" t="s">
        <v>792</v>
      </c>
      <c r="F52" s="45"/>
      <c r="G52" s="46"/>
      <c r="H52" s="216"/>
      <c r="I52" s="249">
        <v>3132</v>
      </c>
      <c r="J52" s="9">
        <v>3960</v>
      </c>
      <c r="K52" s="49"/>
      <c r="L52" s="9">
        <v>3960</v>
      </c>
      <c r="M52" s="49"/>
      <c r="N52" s="49"/>
      <c r="O52" s="49"/>
      <c r="P52" s="49"/>
      <c r="Q52" s="49"/>
      <c r="R52" s="49"/>
      <c r="S52" s="49"/>
      <c r="T52" s="49"/>
      <c r="U52" s="49"/>
      <c r="V52" s="49"/>
      <c r="W52" s="49">
        <v>3960</v>
      </c>
      <c r="X52" s="40">
        <f t="shared" si="4"/>
        <v>0</v>
      </c>
    </row>
    <row r="53" spans="2:24" ht="47.25">
      <c r="B53" s="291"/>
      <c r="C53" s="291"/>
      <c r="D53" s="300"/>
      <c r="E53" s="268" t="s">
        <v>793</v>
      </c>
      <c r="F53" s="45"/>
      <c r="G53" s="46"/>
      <c r="H53" s="216"/>
      <c r="I53" s="249">
        <v>3132</v>
      </c>
      <c r="J53" s="9">
        <v>4125.6</v>
      </c>
      <c r="K53" s="49"/>
      <c r="L53" s="9">
        <v>4125.6</v>
      </c>
      <c r="M53" s="49"/>
      <c r="N53" s="49"/>
      <c r="O53" s="49"/>
      <c r="P53" s="49"/>
      <c r="Q53" s="49"/>
      <c r="R53" s="49"/>
      <c r="S53" s="49"/>
      <c r="T53" s="49"/>
      <c r="U53" s="49"/>
      <c r="V53" s="49"/>
      <c r="W53" s="49">
        <v>4125.6</v>
      </c>
      <c r="X53" s="40">
        <f t="shared" si="4"/>
        <v>0</v>
      </c>
    </row>
    <row r="54" spans="2:24" ht="47.25">
      <c r="B54" s="291"/>
      <c r="C54" s="291"/>
      <c r="D54" s="300"/>
      <c r="E54" s="268" t="s">
        <v>794</v>
      </c>
      <c r="F54" s="45"/>
      <c r="G54" s="46"/>
      <c r="H54" s="216"/>
      <c r="I54" s="249">
        <v>3132</v>
      </c>
      <c r="J54" s="9">
        <v>4136.6</v>
      </c>
      <c r="K54" s="49"/>
      <c r="L54" s="9">
        <v>4136.6</v>
      </c>
      <c r="M54" s="49"/>
      <c r="N54" s="49"/>
      <c r="O54" s="49"/>
      <c r="P54" s="49"/>
      <c r="Q54" s="49"/>
      <c r="R54" s="49"/>
      <c r="S54" s="49"/>
      <c r="T54" s="49"/>
      <c r="U54" s="49"/>
      <c r="V54" s="49"/>
      <c r="W54" s="49">
        <v>4136.6</v>
      </c>
      <c r="X54" s="40">
        <f t="shared" si="4"/>
        <v>0</v>
      </c>
    </row>
    <row r="55" spans="2:24" ht="47.25">
      <c r="B55" s="291"/>
      <c r="C55" s="291"/>
      <c r="D55" s="300"/>
      <c r="E55" s="268" t="s">
        <v>93</v>
      </c>
      <c r="F55" s="45"/>
      <c r="G55" s="46"/>
      <c r="H55" s="216"/>
      <c r="I55" s="249">
        <v>3132</v>
      </c>
      <c r="J55" s="9">
        <v>3092.4</v>
      </c>
      <c r="K55" s="49"/>
      <c r="L55" s="9">
        <v>3092.4</v>
      </c>
      <c r="M55" s="49"/>
      <c r="N55" s="49"/>
      <c r="O55" s="49"/>
      <c r="P55" s="49"/>
      <c r="Q55" s="49"/>
      <c r="R55" s="49"/>
      <c r="S55" s="49"/>
      <c r="T55" s="49"/>
      <c r="U55" s="49"/>
      <c r="V55" s="49"/>
      <c r="W55" s="49">
        <v>3092.4</v>
      </c>
      <c r="X55" s="40">
        <f t="shared" si="4"/>
        <v>0</v>
      </c>
    </row>
    <row r="56" spans="2:24" ht="47.25">
      <c r="B56" s="291"/>
      <c r="C56" s="291"/>
      <c r="D56" s="300"/>
      <c r="E56" s="268" t="s">
        <v>728</v>
      </c>
      <c r="F56" s="45"/>
      <c r="G56" s="46"/>
      <c r="H56" s="216"/>
      <c r="I56" s="249">
        <v>3132</v>
      </c>
      <c r="J56" s="9">
        <v>3942</v>
      </c>
      <c r="K56" s="49"/>
      <c r="L56" s="9">
        <v>3942</v>
      </c>
      <c r="M56" s="49"/>
      <c r="N56" s="49"/>
      <c r="O56" s="49"/>
      <c r="P56" s="49"/>
      <c r="Q56" s="49"/>
      <c r="R56" s="49"/>
      <c r="S56" s="49"/>
      <c r="T56" s="49"/>
      <c r="U56" s="49"/>
      <c r="V56" s="49"/>
      <c r="W56" s="49">
        <v>3942</v>
      </c>
      <c r="X56" s="40">
        <f t="shared" si="4"/>
        <v>0</v>
      </c>
    </row>
    <row r="57" spans="2:24" ht="47.25">
      <c r="B57" s="291"/>
      <c r="C57" s="291"/>
      <c r="D57" s="300"/>
      <c r="E57" s="268" t="s">
        <v>729</v>
      </c>
      <c r="F57" s="45"/>
      <c r="G57" s="46"/>
      <c r="H57" s="216"/>
      <c r="I57" s="249">
        <v>3132</v>
      </c>
      <c r="J57" s="9">
        <v>4126.8</v>
      </c>
      <c r="K57" s="49"/>
      <c r="L57" s="9">
        <v>4126.8</v>
      </c>
      <c r="M57" s="49"/>
      <c r="N57" s="49"/>
      <c r="O57" s="49"/>
      <c r="P57" s="49"/>
      <c r="Q57" s="49"/>
      <c r="R57" s="49"/>
      <c r="S57" s="49"/>
      <c r="T57" s="49"/>
      <c r="U57" s="49"/>
      <c r="V57" s="49"/>
      <c r="W57" s="49">
        <v>4126.8</v>
      </c>
      <c r="X57" s="40">
        <f t="shared" si="4"/>
        <v>0</v>
      </c>
    </row>
    <row r="58" spans="2:24" ht="47.25">
      <c r="B58" s="291"/>
      <c r="C58" s="291"/>
      <c r="D58" s="300"/>
      <c r="E58" s="268" t="s">
        <v>237</v>
      </c>
      <c r="F58" s="45"/>
      <c r="G58" s="46"/>
      <c r="H58" s="216"/>
      <c r="I58" s="249">
        <v>3132</v>
      </c>
      <c r="J58" s="9">
        <v>4129.2</v>
      </c>
      <c r="K58" s="49"/>
      <c r="L58" s="9">
        <v>4129.2</v>
      </c>
      <c r="M58" s="49"/>
      <c r="N58" s="49"/>
      <c r="O58" s="49"/>
      <c r="P58" s="49"/>
      <c r="Q58" s="49"/>
      <c r="R58" s="49"/>
      <c r="S58" s="49"/>
      <c r="T58" s="49"/>
      <c r="U58" s="49"/>
      <c r="V58" s="49"/>
      <c r="W58" s="49">
        <v>4129.2</v>
      </c>
      <c r="X58" s="40">
        <f t="shared" si="4"/>
        <v>0</v>
      </c>
    </row>
    <row r="59" spans="2:24" ht="47.25">
      <c r="B59" s="291"/>
      <c r="C59" s="291"/>
      <c r="D59" s="300"/>
      <c r="E59" s="268" t="s">
        <v>947</v>
      </c>
      <c r="F59" s="45"/>
      <c r="G59" s="46"/>
      <c r="H59" s="216"/>
      <c r="I59" s="249">
        <v>3132</v>
      </c>
      <c r="J59" s="9">
        <v>4170</v>
      </c>
      <c r="K59" s="49"/>
      <c r="L59" s="9">
        <v>4170</v>
      </c>
      <c r="M59" s="49"/>
      <c r="N59" s="49"/>
      <c r="O59" s="49"/>
      <c r="P59" s="49"/>
      <c r="Q59" s="49"/>
      <c r="R59" s="49"/>
      <c r="S59" s="49"/>
      <c r="T59" s="49"/>
      <c r="U59" s="49"/>
      <c r="V59" s="49"/>
      <c r="W59" s="49">
        <v>4170</v>
      </c>
      <c r="X59" s="40">
        <f t="shared" si="4"/>
        <v>0</v>
      </c>
    </row>
    <row r="60" spans="2:24" ht="47.25">
      <c r="B60" s="291"/>
      <c r="C60" s="291"/>
      <c r="D60" s="300"/>
      <c r="E60" s="268" t="s">
        <v>948</v>
      </c>
      <c r="F60" s="45"/>
      <c r="G60" s="46"/>
      <c r="H60" s="216"/>
      <c r="I60" s="249">
        <v>3132</v>
      </c>
      <c r="J60" s="9">
        <v>4170</v>
      </c>
      <c r="K60" s="49"/>
      <c r="L60" s="9">
        <v>4170</v>
      </c>
      <c r="M60" s="49"/>
      <c r="N60" s="49"/>
      <c r="O60" s="49"/>
      <c r="P60" s="49"/>
      <c r="Q60" s="49"/>
      <c r="R60" s="49"/>
      <c r="S60" s="49"/>
      <c r="T60" s="49"/>
      <c r="U60" s="49"/>
      <c r="V60" s="49"/>
      <c r="W60" s="49">
        <v>4170</v>
      </c>
      <c r="X60" s="40">
        <f t="shared" si="4"/>
        <v>0</v>
      </c>
    </row>
    <row r="61" spans="2:24" ht="47.25">
      <c r="B61" s="291"/>
      <c r="C61" s="291"/>
      <c r="D61" s="300"/>
      <c r="E61" s="268" t="s">
        <v>949</v>
      </c>
      <c r="F61" s="45"/>
      <c r="G61" s="46"/>
      <c r="H61" s="216"/>
      <c r="I61" s="249">
        <v>3132</v>
      </c>
      <c r="J61" s="9">
        <v>3943.2</v>
      </c>
      <c r="K61" s="49"/>
      <c r="L61" s="9">
        <v>3943.2</v>
      </c>
      <c r="M61" s="49"/>
      <c r="N61" s="49"/>
      <c r="O61" s="49"/>
      <c r="P61" s="49"/>
      <c r="Q61" s="49"/>
      <c r="R61" s="49"/>
      <c r="S61" s="49"/>
      <c r="T61" s="49"/>
      <c r="U61" s="49"/>
      <c r="V61" s="49"/>
      <c r="W61" s="49">
        <v>3943.2</v>
      </c>
      <c r="X61" s="40">
        <f t="shared" si="4"/>
        <v>0</v>
      </c>
    </row>
    <row r="62" spans="2:24" ht="47.25">
      <c r="B62" s="291"/>
      <c r="C62" s="291"/>
      <c r="D62" s="300"/>
      <c r="E62" s="268" t="s">
        <v>277</v>
      </c>
      <c r="F62" s="45"/>
      <c r="G62" s="46"/>
      <c r="H62" s="216"/>
      <c r="I62" s="249">
        <v>3132</v>
      </c>
      <c r="J62" s="9">
        <v>3943.2</v>
      </c>
      <c r="K62" s="49"/>
      <c r="L62" s="9">
        <v>3943.2</v>
      </c>
      <c r="M62" s="49"/>
      <c r="N62" s="49"/>
      <c r="O62" s="49"/>
      <c r="P62" s="49"/>
      <c r="Q62" s="49"/>
      <c r="R62" s="49"/>
      <c r="S62" s="49"/>
      <c r="T62" s="49"/>
      <c r="U62" s="49"/>
      <c r="V62" s="49"/>
      <c r="W62" s="49">
        <v>3943.2</v>
      </c>
      <c r="X62" s="40">
        <f t="shared" si="4"/>
        <v>0</v>
      </c>
    </row>
    <row r="63" spans="2:24" ht="47.25">
      <c r="B63" s="291"/>
      <c r="C63" s="291"/>
      <c r="D63" s="300"/>
      <c r="E63" s="268" t="s">
        <v>305</v>
      </c>
      <c r="F63" s="45"/>
      <c r="G63" s="46"/>
      <c r="H63" s="216"/>
      <c r="I63" s="249">
        <v>3132</v>
      </c>
      <c r="J63" s="9">
        <v>3903.6</v>
      </c>
      <c r="K63" s="49"/>
      <c r="L63" s="9">
        <v>3903.6</v>
      </c>
      <c r="M63" s="49"/>
      <c r="N63" s="49"/>
      <c r="O63" s="49"/>
      <c r="P63" s="49"/>
      <c r="Q63" s="49"/>
      <c r="R63" s="49"/>
      <c r="S63" s="49"/>
      <c r="T63" s="49"/>
      <c r="U63" s="49"/>
      <c r="V63" s="49"/>
      <c r="W63" s="49">
        <v>3903.6</v>
      </c>
      <c r="X63" s="40">
        <f t="shared" si="4"/>
        <v>0</v>
      </c>
    </row>
    <row r="64" spans="2:24" ht="47.25">
      <c r="B64" s="291"/>
      <c r="C64" s="291"/>
      <c r="D64" s="300"/>
      <c r="E64" s="268" t="s">
        <v>306</v>
      </c>
      <c r="F64" s="45"/>
      <c r="G64" s="46"/>
      <c r="H64" s="216"/>
      <c r="I64" s="249">
        <v>3132</v>
      </c>
      <c r="J64" s="9">
        <v>4135.2</v>
      </c>
      <c r="K64" s="49"/>
      <c r="L64" s="9">
        <v>4135.2</v>
      </c>
      <c r="M64" s="49"/>
      <c r="N64" s="49"/>
      <c r="O64" s="49"/>
      <c r="P64" s="49"/>
      <c r="Q64" s="49"/>
      <c r="R64" s="49"/>
      <c r="S64" s="49"/>
      <c r="T64" s="49"/>
      <c r="U64" s="49"/>
      <c r="V64" s="49"/>
      <c r="W64" s="49">
        <v>4135.2</v>
      </c>
      <c r="X64" s="40">
        <f t="shared" si="4"/>
        <v>0</v>
      </c>
    </row>
    <row r="65" spans="2:24" ht="47.25">
      <c r="B65" s="291"/>
      <c r="C65" s="291"/>
      <c r="D65" s="300"/>
      <c r="E65" s="268" t="s">
        <v>307</v>
      </c>
      <c r="F65" s="45"/>
      <c r="G65" s="46"/>
      <c r="H65" s="216"/>
      <c r="I65" s="249">
        <v>3132</v>
      </c>
      <c r="J65" s="9">
        <v>4202.4</v>
      </c>
      <c r="K65" s="49"/>
      <c r="L65" s="9">
        <v>4202.4</v>
      </c>
      <c r="M65" s="49"/>
      <c r="N65" s="49"/>
      <c r="O65" s="49"/>
      <c r="P65" s="49"/>
      <c r="Q65" s="49"/>
      <c r="R65" s="49"/>
      <c r="S65" s="49"/>
      <c r="T65" s="49"/>
      <c r="U65" s="49"/>
      <c r="V65" s="49"/>
      <c r="W65" s="49">
        <v>4202.4</v>
      </c>
      <c r="X65" s="40">
        <f t="shared" si="4"/>
        <v>0</v>
      </c>
    </row>
    <row r="66" spans="2:24" ht="47.25">
      <c r="B66" s="291"/>
      <c r="C66" s="291"/>
      <c r="D66" s="300"/>
      <c r="E66" s="267" t="s">
        <v>308</v>
      </c>
      <c r="F66" s="45"/>
      <c r="G66" s="46"/>
      <c r="H66" s="216"/>
      <c r="I66" s="249">
        <v>3110</v>
      </c>
      <c r="J66" s="9">
        <v>693600</v>
      </c>
      <c r="K66" s="49"/>
      <c r="L66" s="9">
        <v>693600</v>
      </c>
      <c r="M66" s="49"/>
      <c r="N66" s="49"/>
      <c r="O66" s="49"/>
      <c r="P66" s="49"/>
      <c r="Q66" s="49"/>
      <c r="R66" s="49"/>
      <c r="S66" s="49"/>
      <c r="T66" s="49"/>
      <c r="U66" s="49"/>
      <c r="V66" s="49"/>
      <c r="W66" s="49">
        <v>693600</v>
      </c>
      <c r="X66" s="40">
        <f t="shared" si="4"/>
        <v>0</v>
      </c>
    </row>
    <row r="67" spans="2:24" ht="31.5">
      <c r="B67" s="291"/>
      <c r="C67" s="291"/>
      <c r="D67" s="300"/>
      <c r="E67" s="273" t="s">
        <v>309</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4"/>
        <v>0</v>
      </c>
    </row>
    <row r="68" spans="2:24" ht="31.5">
      <c r="B68" s="291"/>
      <c r="C68" s="291"/>
      <c r="D68" s="300"/>
      <c r="E68" s="274" t="s">
        <v>310</v>
      </c>
      <c r="F68" s="45"/>
      <c r="G68" s="46"/>
      <c r="H68" s="216"/>
      <c r="I68" s="249">
        <v>3132</v>
      </c>
      <c r="J68" s="9">
        <v>189393.82</v>
      </c>
      <c r="K68" s="49"/>
      <c r="L68" s="9">
        <v>189393.82</v>
      </c>
      <c r="M68" s="49"/>
      <c r="N68" s="49"/>
      <c r="O68" s="49"/>
      <c r="P68" s="49"/>
      <c r="Q68" s="49"/>
      <c r="R68" s="49"/>
      <c r="S68" s="49"/>
      <c r="T68" s="49"/>
      <c r="U68" s="49"/>
      <c r="V68" s="49"/>
      <c r="W68" s="49">
        <v>189393.82</v>
      </c>
      <c r="X68" s="40">
        <f t="shared" si="4"/>
        <v>0</v>
      </c>
    </row>
    <row r="69" spans="2:24" ht="15.75">
      <c r="B69" s="291"/>
      <c r="C69" s="291"/>
      <c r="D69" s="300"/>
      <c r="E69" s="273" t="s">
        <v>311</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4"/>
        <v>0</v>
      </c>
    </row>
    <row r="70" spans="2:24" ht="31.5">
      <c r="B70" s="291"/>
      <c r="C70" s="291"/>
      <c r="D70" s="300"/>
      <c r="E70" s="274" t="s">
        <v>931</v>
      </c>
      <c r="F70" s="45"/>
      <c r="G70" s="46"/>
      <c r="H70" s="216"/>
      <c r="I70" s="249">
        <v>3132</v>
      </c>
      <c r="J70" s="9">
        <v>41941.87</v>
      </c>
      <c r="K70" s="49"/>
      <c r="L70" s="9">
        <v>41941.87</v>
      </c>
      <c r="M70" s="49"/>
      <c r="N70" s="49"/>
      <c r="O70" s="49"/>
      <c r="P70" s="49"/>
      <c r="Q70" s="49"/>
      <c r="R70" s="49"/>
      <c r="S70" s="49"/>
      <c r="T70" s="49"/>
      <c r="U70" s="49"/>
      <c r="V70" s="49"/>
      <c r="W70" s="49">
        <v>41941.87</v>
      </c>
      <c r="X70" s="40">
        <f t="shared" si="4"/>
        <v>0</v>
      </c>
    </row>
    <row r="71" spans="2:24" ht="31.5">
      <c r="B71" s="291"/>
      <c r="C71" s="291"/>
      <c r="D71" s="300"/>
      <c r="E71" s="274" t="s">
        <v>655</v>
      </c>
      <c r="F71" s="45"/>
      <c r="G71" s="46"/>
      <c r="H71" s="216"/>
      <c r="I71" s="249">
        <v>3132</v>
      </c>
      <c r="J71" s="9">
        <v>2400</v>
      </c>
      <c r="K71" s="49"/>
      <c r="L71" s="9">
        <v>2400</v>
      </c>
      <c r="M71" s="49"/>
      <c r="N71" s="49"/>
      <c r="O71" s="49"/>
      <c r="P71" s="49"/>
      <c r="Q71" s="49"/>
      <c r="R71" s="49"/>
      <c r="S71" s="49"/>
      <c r="T71" s="49"/>
      <c r="U71" s="49"/>
      <c r="V71" s="49"/>
      <c r="W71" s="49">
        <v>2400</v>
      </c>
      <c r="X71" s="40">
        <f t="shared" si="4"/>
        <v>0</v>
      </c>
    </row>
    <row r="72" spans="2:24" ht="63">
      <c r="B72" s="291"/>
      <c r="C72" s="291"/>
      <c r="D72" s="300"/>
      <c r="E72" s="266" t="s">
        <v>572</v>
      </c>
      <c r="F72" s="45"/>
      <c r="G72" s="46"/>
      <c r="H72" s="216"/>
      <c r="I72" s="249">
        <v>3132</v>
      </c>
      <c r="J72" s="9">
        <v>4604.86</v>
      </c>
      <c r="K72" s="49"/>
      <c r="L72" s="9">
        <v>4604.86</v>
      </c>
      <c r="M72" s="49"/>
      <c r="N72" s="49"/>
      <c r="O72" s="49"/>
      <c r="P72" s="49"/>
      <c r="Q72" s="49"/>
      <c r="R72" s="49"/>
      <c r="S72" s="49"/>
      <c r="T72" s="49"/>
      <c r="U72" s="49"/>
      <c r="V72" s="49"/>
      <c r="W72" s="49">
        <v>4604.86</v>
      </c>
      <c r="X72" s="40">
        <f t="shared" si="4"/>
        <v>0</v>
      </c>
    </row>
    <row r="73" spans="2:24" ht="94.5">
      <c r="B73" s="291"/>
      <c r="C73" s="291"/>
      <c r="D73" s="300"/>
      <c r="E73" s="273" t="s">
        <v>408</v>
      </c>
      <c r="F73" s="45"/>
      <c r="G73" s="46"/>
      <c r="H73" s="216"/>
      <c r="I73" s="249">
        <v>3132</v>
      </c>
      <c r="J73" s="9">
        <v>1392</v>
      </c>
      <c r="K73" s="49"/>
      <c r="L73" s="9">
        <v>1392</v>
      </c>
      <c r="M73" s="49"/>
      <c r="N73" s="49"/>
      <c r="O73" s="49"/>
      <c r="P73" s="49"/>
      <c r="Q73" s="49"/>
      <c r="R73" s="49"/>
      <c r="S73" s="49"/>
      <c r="T73" s="49"/>
      <c r="U73" s="49"/>
      <c r="V73" s="49"/>
      <c r="W73" s="49">
        <v>1392</v>
      </c>
      <c r="X73" s="40">
        <f t="shared" si="4"/>
        <v>0</v>
      </c>
    </row>
    <row r="74" spans="2:24" ht="78.75">
      <c r="B74" s="291"/>
      <c r="C74" s="291"/>
      <c r="D74" s="300"/>
      <c r="E74" s="273" t="s">
        <v>409</v>
      </c>
      <c r="F74" s="45"/>
      <c r="G74" s="46"/>
      <c r="H74" s="216"/>
      <c r="I74" s="249">
        <v>3132</v>
      </c>
      <c r="J74" s="9">
        <v>1392</v>
      </c>
      <c r="K74" s="49"/>
      <c r="L74" s="9">
        <v>1392</v>
      </c>
      <c r="M74" s="49"/>
      <c r="N74" s="49"/>
      <c r="O74" s="49"/>
      <c r="P74" s="49"/>
      <c r="Q74" s="49"/>
      <c r="R74" s="49"/>
      <c r="S74" s="49"/>
      <c r="T74" s="49"/>
      <c r="U74" s="49"/>
      <c r="V74" s="49"/>
      <c r="W74" s="49">
        <v>1392</v>
      </c>
      <c r="X74" s="40">
        <f t="shared" si="4"/>
        <v>0</v>
      </c>
    </row>
    <row r="75" spans="2:24" ht="78.75">
      <c r="B75" s="291"/>
      <c r="C75" s="291"/>
      <c r="D75" s="300"/>
      <c r="E75" s="273" t="s">
        <v>410</v>
      </c>
      <c r="F75" s="45"/>
      <c r="G75" s="46"/>
      <c r="H75" s="216"/>
      <c r="I75" s="249">
        <v>3132</v>
      </c>
      <c r="J75" s="9">
        <v>1392</v>
      </c>
      <c r="K75" s="49"/>
      <c r="L75" s="9">
        <v>1392</v>
      </c>
      <c r="M75" s="49"/>
      <c r="N75" s="49"/>
      <c r="O75" s="49"/>
      <c r="P75" s="49"/>
      <c r="Q75" s="49"/>
      <c r="R75" s="49"/>
      <c r="S75" s="49"/>
      <c r="T75" s="49"/>
      <c r="U75" s="49"/>
      <c r="V75" s="49"/>
      <c r="W75" s="49">
        <v>1392</v>
      </c>
      <c r="X75" s="40">
        <f t="shared" si="4"/>
        <v>0</v>
      </c>
    </row>
    <row r="76" spans="2:24" ht="78.75">
      <c r="B76" s="291"/>
      <c r="C76" s="291"/>
      <c r="D76" s="300"/>
      <c r="E76" s="273" t="s">
        <v>222</v>
      </c>
      <c r="F76" s="45"/>
      <c r="G76" s="46"/>
      <c r="H76" s="216"/>
      <c r="I76" s="249">
        <v>3132</v>
      </c>
      <c r="J76" s="9">
        <v>1392</v>
      </c>
      <c r="K76" s="49"/>
      <c r="L76" s="9">
        <v>1392</v>
      </c>
      <c r="M76" s="49"/>
      <c r="N76" s="49"/>
      <c r="O76" s="49"/>
      <c r="P76" s="49"/>
      <c r="Q76" s="49"/>
      <c r="R76" s="49"/>
      <c r="S76" s="49"/>
      <c r="T76" s="49"/>
      <c r="U76" s="49"/>
      <c r="V76" s="49"/>
      <c r="W76" s="49">
        <v>1392</v>
      </c>
      <c r="X76" s="40">
        <f t="shared" si="4"/>
        <v>0</v>
      </c>
    </row>
    <row r="77" spans="2:24" ht="31.5">
      <c r="B77" s="291"/>
      <c r="C77" s="291"/>
      <c r="D77" s="300"/>
      <c r="E77" s="273" t="s">
        <v>19</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4"/>
        <v>0</v>
      </c>
    </row>
    <row r="78" spans="2:24" ht="31.5">
      <c r="B78" s="291"/>
      <c r="C78" s="291"/>
      <c r="D78" s="300"/>
      <c r="E78" s="274" t="s">
        <v>20</v>
      </c>
      <c r="F78" s="45"/>
      <c r="G78" s="46"/>
      <c r="H78" s="216"/>
      <c r="I78" s="249">
        <v>3132</v>
      </c>
      <c r="J78" s="9">
        <v>1392</v>
      </c>
      <c r="K78" s="49"/>
      <c r="L78" s="9">
        <v>1392</v>
      </c>
      <c r="M78" s="49"/>
      <c r="N78" s="49"/>
      <c r="O78" s="49"/>
      <c r="P78" s="49"/>
      <c r="Q78" s="49"/>
      <c r="R78" s="49"/>
      <c r="S78" s="49"/>
      <c r="T78" s="49"/>
      <c r="U78" s="49"/>
      <c r="V78" s="49"/>
      <c r="W78" s="49">
        <v>1392</v>
      </c>
      <c r="X78" s="40">
        <f t="shared" si="4"/>
        <v>0</v>
      </c>
    </row>
    <row r="79" spans="2:24" ht="31.5">
      <c r="B79" s="291"/>
      <c r="C79" s="291"/>
      <c r="D79" s="300"/>
      <c r="E79" s="274" t="s">
        <v>153</v>
      </c>
      <c r="F79" s="45"/>
      <c r="G79" s="46"/>
      <c r="H79" s="216"/>
      <c r="I79" s="249">
        <v>3132</v>
      </c>
      <c r="J79" s="9">
        <v>1392</v>
      </c>
      <c r="K79" s="49"/>
      <c r="L79" s="9">
        <v>1392</v>
      </c>
      <c r="M79" s="49"/>
      <c r="N79" s="49"/>
      <c r="O79" s="49"/>
      <c r="P79" s="49"/>
      <c r="Q79" s="49"/>
      <c r="R79" s="49"/>
      <c r="S79" s="49"/>
      <c r="T79" s="49"/>
      <c r="U79" s="49"/>
      <c r="V79" s="49"/>
      <c r="W79" s="49">
        <v>1392</v>
      </c>
      <c r="X79" s="40">
        <f t="shared" si="4"/>
        <v>0</v>
      </c>
    </row>
    <row r="80" spans="2:24" ht="47.25">
      <c r="B80" s="291"/>
      <c r="C80" s="291"/>
      <c r="D80" s="300"/>
      <c r="E80" s="273" t="s">
        <v>154</v>
      </c>
      <c r="F80" s="45"/>
      <c r="G80" s="46"/>
      <c r="H80" s="216"/>
      <c r="I80" s="249">
        <v>3132</v>
      </c>
      <c r="J80" s="9">
        <v>10105.4</v>
      </c>
      <c r="K80" s="49"/>
      <c r="L80" s="9">
        <v>10105.4</v>
      </c>
      <c r="M80" s="49"/>
      <c r="N80" s="49"/>
      <c r="O80" s="49"/>
      <c r="P80" s="49"/>
      <c r="Q80" s="49"/>
      <c r="R80" s="49"/>
      <c r="S80" s="49"/>
      <c r="T80" s="49"/>
      <c r="U80" s="49"/>
      <c r="V80" s="49"/>
      <c r="W80" s="49">
        <v>10105.4</v>
      </c>
      <c r="X80" s="40">
        <f t="shared" si="4"/>
        <v>0</v>
      </c>
    </row>
    <row r="81" spans="2:24" ht="78.75">
      <c r="B81" s="291"/>
      <c r="C81" s="291"/>
      <c r="D81" s="300"/>
      <c r="E81" s="31" t="s">
        <v>179</v>
      </c>
      <c r="F81" s="45"/>
      <c r="G81" s="46"/>
      <c r="H81" s="216"/>
      <c r="I81" s="249">
        <v>3110</v>
      </c>
      <c r="J81" s="9">
        <v>25000</v>
      </c>
      <c r="K81" s="49"/>
      <c r="L81" s="49"/>
      <c r="M81" s="49"/>
      <c r="N81" s="49">
        <v>25000</v>
      </c>
      <c r="O81" s="49"/>
      <c r="P81" s="49"/>
      <c r="Q81" s="49"/>
      <c r="R81" s="49"/>
      <c r="S81" s="49"/>
      <c r="T81" s="49"/>
      <c r="U81" s="49"/>
      <c r="V81" s="49"/>
      <c r="W81" s="49">
        <v>25000</v>
      </c>
      <c r="X81" s="40">
        <f t="shared" si="4"/>
        <v>0</v>
      </c>
    </row>
    <row r="82" spans="2:24" ht="31.5">
      <c r="B82" s="291"/>
      <c r="C82" s="291"/>
      <c r="D82" s="300"/>
      <c r="E82" s="31" t="s">
        <v>136</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4"/>
        <v>2031</v>
      </c>
    </row>
    <row r="83" spans="2:24" ht="31.5">
      <c r="B83" s="291"/>
      <c r="C83" s="291"/>
      <c r="D83" s="300"/>
      <c r="E83" s="31" t="s">
        <v>713</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4"/>
        <v>93606.9</v>
      </c>
    </row>
    <row r="84" spans="2:24" ht="15.75">
      <c r="B84" s="291"/>
      <c r="C84" s="291"/>
      <c r="D84" s="300"/>
      <c r="E84" s="31" t="s">
        <v>714</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4"/>
        <v>6285.200000000012</v>
      </c>
    </row>
    <row r="85" spans="2:24" ht="63">
      <c r="B85" s="291"/>
      <c r="C85" s="291"/>
      <c r="D85" s="300"/>
      <c r="E85" s="31" t="s">
        <v>138</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4"/>
        <v>18342.880000000005</v>
      </c>
    </row>
    <row r="86" spans="2:24" ht="47.25">
      <c r="B86" s="291"/>
      <c r="C86" s="291"/>
      <c r="D86" s="300"/>
      <c r="E86" s="31" t="s">
        <v>715</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4"/>
        <v>1324.8000000000466</v>
      </c>
    </row>
    <row r="87" spans="2:24" ht="47.25">
      <c r="B87" s="291"/>
      <c r="C87" s="291"/>
      <c r="D87" s="300"/>
      <c r="E87" s="31" t="s">
        <v>716</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4"/>
        <v>46431.869999999995</v>
      </c>
    </row>
    <row r="88" spans="2:24" ht="47.25">
      <c r="B88" s="291"/>
      <c r="C88" s="291"/>
      <c r="D88" s="300"/>
      <c r="E88" s="31" t="s">
        <v>567</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f>
        <v>294045.14</v>
      </c>
      <c r="X88" s="40">
        <f t="shared" si="4"/>
        <v>12954.859999999986</v>
      </c>
    </row>
    <row r="89" spans="2:24" ht="47.25">
      <c r="B89" s="291"/>
      <c r="C89" s="291"/>
      <c r="D89" s="300"/>
      <c r="E89" s="31" t="s">
        <v>568</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aca="true" t="shared" si="10" ref="X89:X152">K89+L89+M89+N89+O89+P89+Q89+R89+S89+T89+U89-W89</f>
        <v>68000</v>
      </c>
    </row>
    <row r="90" spans="2:24" ht="47.25">
      <c r="B90" s="291"/>
      <c r="C90" s="291"/>
      <c r="D90" s="300"/>
      <c r="E90" s="31" t="s">
        <v>458</v>
      </c>
      <c r="F90" s="45"/>
      <c r="G90" s="46"/>
      <c r="H90" s="216"/>
      <c r="I90" s="249">
        <v>3132</v>
      </c>
      <c r="J90" s="9">
        <f>110000-28000</f>
        <v>82000</v>
      </c>
      <c r="K90" s="200"/>
      <c r="L90" s="200"/>
      <c r="M90" s="200"/>
      <c r="N90" s="200"/>
      <c r="O90" s="200">
        <v>10000</v>
      </c>
      <c r="P90" s="200"/>
      <c r="Q90" s="200">
        <v>100000</v>
      </c>
      <c r="R90" s="200"/>
      <c r="S90" s="200"/>
      <c r="T90" s="200"/>
      <c r="U90" s="200">
        <v>-28000</v>
      </c>
      <c r="V90" s="200"/>
      <c r="W90" s="49"/>
      <c r="X90" s="40">
        <f t="shared" si="10"/>
        <v>82000</v>
      </c>
    </row>
    <row r="91" spans="2:24" ht="31.5">
      <c r="B91" s="291"/>
      <c r="C91" s="291"/>
      <c r="D91" s="300"/>
      <c r="E91" s="31" t="s">
        <v>459</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f>
        <v>196075.97999999998</v>
      </c>
      <c r="X91" s="40">
        <f t="shared" si="10"/>
        <v>1443924.02</v>
      </c>
    </row>
    <row r="92" spans="2:24" ht="31.5">
      <c r="B92" s="291"/>
      <c r="C92" s="291"/>
      <c r="D92" s="300"/>
      <c r="E92" s="31" t="s">
        <v>649</v>
      </c>
      <c r="F92" s="45"/>
      <c r="G92" s="46"/>
      <c r="H92" s="216"/>
      <c r="I92" s="249">
        <v>3110</v>
      </c>
      <c r="J92" s="9">
        <f>60000-39000</f>
        <v>21000</v>
      </c>
      <c r="K92" s="200"/>
      <c r="L92" s="200"/>
      <c r="M92" s="200"/>
      <c r="N92" s="200"/>
      <c r="O92" s="200"/>
      <c r="P92" s="200"/>
      <c r="Q92" s="200"/>
      <c r="R92" s="200">
        <v>60000</v>
      </c>
      <c r="S92" s="200"/>
      <c r="T92" s="200"/>
      <c r="U92" s="200">
        <v>-39000</v>
      </c>
      <c r="V92" s="200"/>
      <c r="W92" s="49"/>
      <c r="X92" s="40">
        <f t="shared" si="10"/>
        <v>21000</v>
      </c>
    </row>
    <row r="93" spans="2:24" ht="31.5">
      <c r="B93" s="291"/>
      <c r="C93" s="291"/>
      <c r="D93" s="300"/>
      <c r="E93" s="31" t="s">
        <v>639</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1"/>
      <c r="C94" s="291"/>
      <c r="D94" s="300"/>
      <c r="E94" s="12" t="s">
        <v>718</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1"/>
      <c r="C95" s="291"/>
      <c r="D95" s="300"/>
      <c r="E95" s="12" t="s">
        <v>339</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1"/>
      <c r="C96" s="291"/>
      <c r="D96" s="300"/>
      <c r="E96" s="12" t="s">
        <v>340</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1"/>
      <c r="C97" s="291"/>
      <c r="D97" s="300"/>
      <c r="E97" s="12" t="s">
        <v>338</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1"/>
      <c r="C98" s="291"/>
      <c r="D98" s="300"/>
      <c r="E98" s="12" t="s">
        <v>145</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1"/>
      <c r="C99" s="291"/>
      <c r="D99" s="300"/>
      <c r="E99" s="31" t="s">
        <v>146</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f>
        <v>310569.15</v>
      </c>
      <c r="X99" s="40">
        <f t="shared" si="10"/>
        <v>136430.84999999998</v>
      </c>
    </row>
    <row r="100" spans="2:24" ht="47.25">
      <c r="B100" s="291"/>
      <c r="C100" s="291"/>
      <c r="D100" s="300"/>
      <c r="E100" s="31" t="s">
        <v>725</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f>
        <v>814784</v>
      </c>
      <c r="X100" s="40">
        <f t="shared" si="10"/>
        <v>135216</v>
      </c>
    </row>
    <row r="101" spans="2:24" ht="63">
      <c r="B101" s="291"/>
      <c r="C101" s="291"/>
      <c r="D101" s="300"/>
      <c r="E101" s="31" t="s">
        <v>801</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1"/>
      <c r="C102" s="291"/>
      <c r="D102" s="300"/>
      <c r="E102" s="65" t="s">
        <v>802</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1"/>
      <c r="C103" s="291"/>
      <c r="D103" s="300"/>
      <c r="E103" s="65" t="s">
        <v>640</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1"/>
      <c r="C104" s="291"/>
      <c r="D104" s="300"/>
      <c r="E104" s="67" t="s">
        <v>641</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1"/>
      <c r="C105" s="291"/>
      <c r="D105" s="300"/>
      <c r="E105" s="68" t="s">
        <v>642</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1"/>
      <c r="C106" s="291"/>
      <c r="D106" s="300"/>
      <c r="E106" s="67" t="s">
        <v>643</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1"/>
      <c r="C107" s="291"/>
      <c r="D107" s="300"/>
      <c r="E107" s="67" t="s">
        <v>378</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1"/>
      <c r="C108" s="291"/>
      <c r="D108" s="300"/>
      <c r="E108" s="31" t="s">
        <v>379</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1"/>
      <c r="C109" s="291"/>
      <c r="D109" s="300"/>
      <c r="E109" s="31" t="s">
        <v>101</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1"/>
      <c r="C110" s="291"/>
      <c r="D110" s="300"/>
      <c r="E110" s="31" t="s">
        <v>380</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1"/>
      <c r="C111" s="291"/>
      <c r="D111" s="300"/>
      <c r="E111" s="31" t="s">
        <v>381</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1"/>
      <c r="C112" s="291"/>
      <c r="D112" s="300"/>
      <c r="E112" s="31" t="s">
        <v>415</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v>26000</v>
      </c>
      <c r="V112" s="200"/>
      <c r="W112" s="49">
        <f>67956.5+20886.5+1959</f>
        <v>90802</v>
      </c>
      <c r="X112" s="40">
        <f t="shared" si="10"/>
        <v>413198</v>
      </c>
    </row>
    <row r="113" spans="2:24" ht="63">
      <c r="B113" s="291"/>
      <c r="C113" s="291"/>
      <c r="D113" s="300"/>
      <c r="E113" s="64" t="s">
        <v>416</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f>
        <v>330610</v>
      </c>
      <c r="X113" s="40">
        <f t="shared" si="10"/>
        <v>41790</v>
      </c>
    </row>
    <row r="114" spans="2:24" ht="47.25">
      <c r="B114" s="291"/>
      <c r="C114" s="291"/>
      <c r="D114" s="300"/>
      <c r="E114" s="64" t="s">
        <v>417</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1"/>
      <c r="C115" s="291"/>
      <c r="D115" s="300"/>
      <c r="E115" s="31" t="s">
        <v>45</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1"/>
      <c r="C116" s="291"/>
      <c r="D116" s="300"/>
      <c r="E116" s="69" t="s">
        <v>46</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1"/>
      <c r="C117" s="291"/>
      <c r="D117" s="300"/>
      <c r="E117" s="69" t="s">
        <v>56</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1"/>
      <c r="C118" s="291"/>
      <c r="D118" s="300"/>
      <c r="E118" s="31" t="s">
        <v>552</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1"/>
      <c r="C119" s="291"/>
      <c r="D119" s="300"/>
      <c r="E119" s="31" t="s">
        <v>251</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1"/>
      <c r="C120" s="291"/>
      <c r="D120" s="300"/>
      <c r="E120" s="31" t="s">
        <v>252</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1"/>
      <c r="C121" s="291"/>
      <c r="D121" s="300"/>
      <c r="E121" s="31" t="s">
        <v>462</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f>
        <v>198861</v>
      </c>
      <c r="X121" s="40">
        <f t="shared" si="10"/>
        <v>24139</v>
      </c>
    </row>
    <row r="122" spans="2:24" ht="63">
      <c r="B122" s="291"/>
      <c r="C122" s="291"/>
      <c r="D122" s="300"/>
      <c r="E122" s="31" t="s">
        <v>257</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1"/>
      <c r="C123" s="291"/>
      <c r="D123" s="300"/>
      <c r="E123" s="31" t="s">
        <v>53</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1"/>
      <c r="C124" s="291"/>
      <c r="D124" s="300"/>
      <c r="E124" s="31" t="s">
        <v>571</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1"/>
      <c r="C125" s="291"/>
      <c r="D125" s="300"/>
      <c r="E125" s="31" t="s">
        <v>773</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1"/>
      <c r="C126" s="291"/>
      <c r="D126" s="300"/>
      <c r="E126" s="31" t="s">
        <v>774</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1"/>
      <c r="C127" s="291"/>
      <c r="D127" s="300"/>
      <c r="E127" s="31" t="s">
        <v>775</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1"/>
      <c r="C128" s="291"/>
      <c r="D128" s="300"/>
      <c r="E128" s="31" t="s">
        <v>776</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1"/>
      <c r="C129" s="291"/>
      <c r="D129" s="300"/>
      <c r="E129" s="31" t="s">
        <v>630</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1"/>
      <c r="C130" s="291"/>
      <c r="D130" s="300"/>
      <c r="E130" s="31" t="s">
        <v>631</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1"/>
      <c r="C131" s="291"/>
      <c r="D131" s="300"/>
      <c r="E131" s="31" t="s">
        <v>440</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1"/>
      <c r="C132" s="291"/>
      <c r="D132" s="300"/>
      <c r="E132" s="31" t="s">
        <v>55</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1"/>
      <c r="C133" s="291"/>
      <c r="D133" s="300"/>
      <c r="E133" s="31" t="s">
        <v>645</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1"/>
      <c r="C134" s="291"/>
      <c r="D134" s="300"/>
      <c r="E134" s="31" t="s">
        <v>113</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1"/>
      <c r="C135" s="291"/>
      <c r="D135" s="300"/>
      <c r="E135" s="31" t="s">
        <v>646</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1"/>
      <c r="C136" s="291"/>
      <c r="D136" s="300"/>
      <c r="E136" s="31" t="s">
        <v>228</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1"/>
      <c r="C137" s="291"/>
      <c r="D137" s="300"/>
      <c r="E137" s="31" t="s">
        <v>229</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1"/>
      <c r="C138" s="291"/>
      <c r="D138" s="300"/>
      <c r="E138" s="31" t="s">
        <v>219</v>
      </c>
      <c r="F138" s="49"/>
      <c r="G138" s="18"/>
      <c r="H138" s="220"/>
      <c r="I138" s="249">
        <v>3132</v>
      </c>
      <c r="J138" s="21">
        <v>756000</v>
      </c>
      <c r="K138" s="49"/>
      <c r="L138" s="49"/>
      <c r="M138" s="49"/>
      <c r="N138" s="49"/>
      <c r="O138" s="49"/>
      <c r="P138" s="49"/>
      <c r="Q138" s="49"/>
      <c r="R138" s="49"/>
      <c r="S138" s="21">
        <v>756000</v>
      </c>
      <c r="T138" s="49"/>
      <c r="U138" s="49"/>
      <c r="V138" s="49"/>
      <c r="W138" s="49">
        <v>372700</v>
      </c>
      <c r="X138" s="40">
        <f t="shared" si="10"/>
        <v>383300</v>
      </c>
    </row>
    <row r="139" spans="2:24" ht="31.5">
      <c r="B139" s="291"/>
      <c r="C139" s="291"/>
      <c r="D139" s="300"/>
      <c r="E139" s="31" t="s">
        <v>220</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1"/>
      <c r="C140" s="291"/>
      <c r="D140" s="300"/>
      <c r="E140" s="31" t="s">
        <v>221</v>
      </c>
      <c r="F140" s="49"/>
      <c r="G140" s="18"/>
      <c r="H140" s="220"/>
      <c r="I140" s="249">
        <v>3132</v>
      </c>
      <c r="J140" s="21">
        <v>498000</v>
      </c>
      <c r="K140" s="49"/>
      <c r="L140" s="49"/>
      <c r="M140" s="49"/>
      <c r="N140" s="49"/>
      <c r="O140" s="49"/>
      <c r="P140" s="49"/>
      <c r="Q140" s="49"/>
      <c r="R140" s="49"/>
      <c r="S140" s="21">
        <v>498000</v>
      </c>
      <c r="T140" s="49"/>
      <c r="U140" s="49"/>
      <c r="V140" s="49"/>
      <c r="W140" s="49">
        <f>240677.5</f>
        <v>240677.5</v>
      </c>
      <c r="X140" s="40">
        <f t="shared" si="10"/>
        <v>257322.5</v>
      </c>
    </row>
    <row r="141" spans="2:24" ht="31.5">
      <c r="B141" s="291"/>
      <c r="C141" s="291"/>
      <c r="D141" s="300"/>
      <c r="E141" s="31" t="s">
        <v>939</v>
      </c>
      <c r="F141" s="49"/>
      <c r="G141" s="18"/>
      <c r="H141" s="220"/>
      <c r="I141" s="249">
        <v>3132</v>
      </c>
      <c r="J141" s="21">
        <v>207000</v>
      </c>
      <c r="K141" s="49"/>
      <c r="L141" s="49"/>
      <c r="M141" s="49"/>
      <c r="N141" s="49"/>
      <c r="O141" s="49"/>
      <c r="P141" s="49"/>
      <c r="Q141" s="49"/>
      <c r="R141" s="49"/>
      <c r="S141" s="21">
        <v>207000</v>
      </c>
      <c r="T141" s="49"/>
      <c r="U141" s="49"/>
      <c r="V141" s="49"/>
      <c r="W141" s="49">
        <f>133784.28+11823</f>
        <v>145607.28</v>
      </c>
      <c r="X141" s="40">
        <f t="shared" si="10"/>
        <v>61392.72</v>
      </c>
    </row>
    <row r="142" spans="2:24" ht="47.25">
      <c r="B142" s="291"/>
      <c r="C142" s="291"/>
      <c r="D142" s="300"/>
      <c r="E142" s="31" t="s">
        <v>940</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1"/>
      <c r="C143" s="291"/>
      <c r="D143" s="300"/>
      <c r="E143" s="31" t="s">
        <v>941</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1"/>
      <c r="C144" s="291"/>
      <c r="D144" s="300"/>
      <c r="E144" s="31" t="s">
        <v>942</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f>
        <v>199237</v>
      </c>
      <c r="X144" s="40">
        <f t="shared" si="10"/>
        <v>93763</v>
      </c>
    </row>
    <row r="145" spans="2:24" ht="47.25">
      <c r="B145" s="291"/>
      <c r="C145" s="291"/>
      <c r="D145" s="300"/>
      <c r="E145" s="31" t="s">
        <v>943</v>
      </c>
      <c r="F145" s="49"/>
      <c r="G145" s="18"/>
      <c r="H145" s="220"/>
      <c r="I145" s="249">
        <v>3132</v>
      </c>
      <c r="J145" s="21">
        <v>52000</v>
      </c>
      <c r="K145" s="49"/>
      <c r="L145" s="49"/>
      <c r="M145" s="49"/>
      <c r="N145" s="49"/>
      <c r="O145" s="49"/>
      <c r="P145" s="49"/>
      <c r="Q145" s="49"/>
      <c r="R145" s="49"/>
      <c r="S145" s="21">
        <v>52000</v>
      </c>
      <c r="T145" s="49"/>
      <c r="U145" s="49"/>
      <c r="V145" s="49"/>
      <c r="W145" s="49">
        <v>25535</v>
      </c>
      <c r="X145" s="40">
        <f t="shared" si="10"/>
        <v>26465</v>
      </c>
    </row>
    <row r="146" spans="2:24" ht="31.5">
      <c r="B146" s="291"/>
      <c r="C146" s="291"/>
      <c r="D146" s="300"/>
      <c r="E146" s="31" t="s">
        <v>944</v>
      </c>
      <c r="F146" s="49"/>
      <c r="G146" s="18"/>
      <c r="H146" s="220"/>
      <c r="I146" s="249">
        <v>3132</v>
      </c>
      <c r="J146" s="21">
        <v>298000</v>
      </c>
      <c r="K146" s="49"/>
      <c r="L146" s="49"/>
      <c r="M146" s="49"/>
      <c r="N146" s="49"/>
      <c r="O146" s="49"/>
      <c r="P146" s="49"/>
      <c r="Q146" s="49"/>
      <c r="R146" s="49"/>
      <c r="S146" s="21">
        <v>298000</v>
      </c>
      <c r="T146" s="49"/>
      <c r="U146" s="49"/>
      <c r="V146" s="49"/>
      <c r="W146" s="49">
        <f>203934.5+87400.5</f>
        <v>291335</v>
      </c>
      <c r="X146" s="40">
        <f t="shared" si="10"/>
        <v>6665</v>
      </c>
    </row>
    <row r="147" spans="2:24" ht="31.5">
      <c r="B147" s="291"/>
      <c r="C147" s="291"/>
      <c r="D147" s="300"/>
      <c r="E147" s="31" t="s">
        <v>945</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0"/>
        <v>99875.9</v>
      </c>
    </row>
    <row r="148" spans="2:24" ht="31.5">
      <c r="B148" s="291"/>
      <c r="C148" s="291"/>
      <c r="D148" s="300"/>
      <c r="E148" s="31" t="s">
        <v>946</v>
      </c>
      <c r="F148" s="49"/>
      <c r="G148" s="18"/>
      <c r="H148" s="220"/>
      <c r="I148" s="249">
        <v>3132</v>
      </c>
      <c r="J148" s="21">
        <v>250000</v>
      </c>
      <c r="K148" s="49"/>
      <c r="L148" s="49"/>
      <c r="M148" s="49"/>
      <c r="N148" s="49"/>
      <c r="O148" s="49"/>
      <c r="P148" s="49"/>
      <c r="Q148" s="49"/>
      <c r="R148" s="49"/>
      <c r="S148" s="21">
        <v>250000</v>
      </c>
      <c r="T148" s="49"/>
      <c r="U148" s="49"/>
      <c r="V148" s="49"/>
      <c r="W148" s="49"/>
      <c r="X148" s="40">
        <f t="shared" si="10"/>
        <v>250000</v>
      </c>
    </row>
    <row r="149" spans="2:24" ht="31.5">
      <c r="B149" s="291"/>
      <c r="C149" s="291"/>
      <c r="D149" s="300"/>
      <c r="E149" s="31" t="s">
        <v>316</v>
      </c>
      <c r="F149" s="49"/>
      <c r="G149" s="18"/>
      <c r="H149" s="220"/>
      <c r="I149" s="249">
        <v>3132</v>
      </c>
      <c r="J149" s="21">
        <v>398000</v>
      </c>
      <c r="K149" s="49"/>
      <c r="L149" s="49"/>
      <c r="M149" s="49"/>
      <c r="N149" s="49"/>
      <c r="O149" s="49"/>
      <c r="P149" s="49"/>
      <c r="Q149" s="49"/>
      <c r="R149" s="49"/>
      <c r="S149" s="21">
        <v>398000</v>
      </c>
      <c r="T149" s="49"/>
      <c r="U149" s="49"/>
      <c r="V149" s="49"/>
      <c r="W149" s="49">
        <f>21640+261225.58</f>
        <v>282865.57999999996</v>
      </c>
      <c r="X149" s="40">
        <f t="shared" si="10"/>
        <v>115134.42000000004</v>
      </c>
    </row>
    <row r="150" spans="2:24" ht="47.25">
      <c r="B150" s="291"/>
      <c r="C150" s="291"/>
      <c r="D150" s="300"/>
      <c r="E150" s="31" t="s">
        <v>317</v>
      </c>
      <c r="F150" s="49"/>
      <c r="G150" s="18"/>
      <c r="H150" s="220"/>
      <c r="I150" s="249">
        <v>3132</v>
      </c>
      <c r="J150" s="21">
        <v>112000</v>
      </c>
      <c r="K150" s="49"/>
      <c r="L150" s="49"/>
      <c r="M150" s="49"/>
      <c r="N150" s="49"/>
      <c r="O150" s="49"/>
      <c r="P150" s="49"/>
      <c r="Q150" s="49"/>
      <c r="R150" s="49"/>
      <c r="S150" s="21">
        <v>112000</v>
      </c>
      <c r="T150" s="49"/>
      <c r="U150" s="49"/>
      <c r="V150" s="49"/>
      <c r="W150" s="49"/>
      <c r="X150" s="40">
        <f t="shared" si="10"/>
        <v>112000</v>
      </c>
    </row>
    <row r="151" spans="2:24" ht="31.5">
      <c r="B151" s="291"/>
      <c r="C151" s="291"/>
      <c r="D151" s="300"/>
      <c r="E151" s="31" t="s">
        <v>318</v>
      </c>
      <c r="F151" s="49"/>
      <c r="G151" s="18"/>
      <c r="H151" s="220"/>
      <c r="I151" s="249">
        <v>3132</v>
      </c>
      <c r="J151" s="21">
        <v>121000</v>
      </c>
      <c r="K151" s="49"/>
      <c r="L151" s="49"/>
      <c r="M151" s="49"/>
      <c r="N151" s="49"/>
      <c r="O151" s="49"/>
      <c r="P151" s="49"/>
      <c r="Q151" s="49"/>
      <c r="R151" s="49"/>
      <c r="S151" s="21">
        <v>121000</v>
      </c>
      <c r="T151" s="49"/>
      <c r="U151" s="49"/>
      <c r="V151" s="49"/>
      <c r="W151" s="49">
        <f>97621</f>
        <v>97621</v>
      </c>
      <c r="X151" s="40">
        <f t="shared" si="10"/>
        <v>23379</v>
      </c>
    </row>
    <row r="152" spans="2:24" ht="15.75">
      <c r="B152" s="291"/>
      <c r="C152" s="291"/>
      <c r="D152" s="300"/>
      <c r="E152" s="31" t="s">
        <v>783</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0"/>
        <v>0</v>
      </c>
    </row>
    <row r="153" spans="2:24" ht="31.5">
      <c r="B153" s="291"/>
      <c r="C153" s="291"/>
      <c r="D153" s="300"/>
      <c r="E153" s="31" t="s">
        <v>807</v>
      </c>
      <c r="F153" s="49"/>
      <c r="G153" s="18"/>
      <c r="H153" s="220"/>
      <c r="I153" s="249">
        <v>3132</v>
      </c>
      <c r="J153" s="21">
        <v>148750</v>
      </c>
      <c r="K153" s="49"/>
      <c r="L153" s="49"/>
      <c r="M153" s="49"/>
      <c r="N153" s="49"/>
      <c r="O153" s="49"/>
      <c r="P153" s="49"/>
      <c r="Q153" s="49"/>
      <c r="R153" s="49"/>
      <c r="S153" s="49"/>
      <c r="T153" s="49">
        <v>148750</v>
      </c>
      <c r="U153" s="49"/>
      <c r="V153" s="49"/>
      <c r="W153" s="49">
        <f>101678.5+43576.5</f>
        <v>145255</v>
      </c>
      <c r="X153" s="40">
        <f aca="true" t="shared" si="12" ref="X153:X219">K153+L153+M153+N153+O153+P153+Q153+R153+S153+T153+U153-W153</f>
        <v>3495</v>
      </c>
    </row>
    <row r="154" spans="2:24" ht="47.25">
      <c r="B154" s="291"/>
      <c r="C154" s="291"/>
      <c r="D154" s="300"/>
      <c r="E154" s="31" t="s">
        <v>806</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1"/>
      <c r="C155" s="291"/>
      <c r="D155" s="300"/>
      <c r="E155" s="31" t="s">
        <v>118</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1"/>
      <c r="C156" s="291"/>
      <c r="D156" s="300"/>
      <c r="E156" s="31" t="s">
        <v>808</v>
      </c>
      <c r="F156" s="49"/>
      <c r="G156" s="18"/>
      <c r="H156" s="220"/>
      <c r="I156" s="249">
        <v>3132</v>
      </c>
      <c r="J156" s="21">
        <v>70000</v>
      </c>
      <c r="K156" s="49"/>
      <c r="L156" s="49"/>
      <c r="M156" s="49"/>
      <c r="N156" s="49"/>
      <c r="O156" s="49"/>
      <c r="P156" s="49"/>
      <c r="Q156" s="49"/>
      <c r="R156" s="49"/>
      <c r="S156" s="49"/>
      <c r="T156" s="49">
        <v>70000</v>
      </c>
      <c r="U156" s="49"/>
      <c r="V156" s="49"/>
      <c r="W156" s="49"/>
      <c r="X156" s="40">
        <f t="shared" si="12"/>
        <v>70000</v>
      </c>
    </row>
    <row r="157" spans="2:24" ht="47.25">
      <c r="B157" s="291"/>
      <c r="C157" s="291"/>
      <c r="D157" s="300"/>
      <c r="E157" s="31" t="s">
        <v>809</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1"/>
      <c r="C158" s="291"/>
      <c r="D158" s="300"/>
      <c r="E158" s="31" t="s">
        <v>290</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1"/>
      <c r="C159" s="291"/>
      <c r="D159" s="300"/>
      <c r="E159" s="31" t="s">
        <v>289</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1"/>
      <c r="C160" s="291"/>
      <c r="D160" s="301"/>
      <c r="E160" s="31" t="s">
        <v>632</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290" t="s">
        <v>204</v>
      </c>
      <c r="C161" s="290" t="s">
        <v>121</v>
      </c>
      <c r="D161" s="299" t="s">
        <v>120</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12344123.549999999</v>
      </c>
      <c r="X161" s="184">
        <f t="shared" si="12"/>
        <v>9150711.22</v>
      </c>
    </row>
    <row r="162" spans="2:24" ht="78.75">
      <c r="B162" s="291"/>
      <c r="C162" s="291"/>
      <c r="D162" s="300"/>
      <c r="E162" s="266" t="s">
        <v>633</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1"/>
      <c r="C163" s="291"/>
      <c r="D163" s="300"/>
      <c r="E163" s="267" t="s">
        <v>634</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1"/>
      <c r="C164" s="291"/>
      <c r="D164" s="300"/>
      <c r="E164" s="268" t="s">
        <v>60</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1"/>
      <c r="C165" s="291"/>
      <c r="D165" s="300"/>
      <c r="E165" s="269" t="s">
        <v>61</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1"/>
      <c r="C166" s="291"/>
      <c r="D166" s="300"/>
      <c r="E166" s="270" t="s">
        <v>843</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1"/>
      <c r="C167" s="291"/>
      <c r="D167" s="300"/>
      <c r="E167" s="270" t="s">
        <v>844</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1"/>
      <c r="C168" s="291"/>
      <c r="D168" s="300"/>
      <c r="E168" s="270" t="s">
        <v>845</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1"/>
      <c r="C169" s="291"/>
      <c r="D169" s="300"/>
      <c r="E169" s="270" t="s">
        <v>846</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1"/>
      <c r="C170" s="291"/>
      <c r="D170" s="300"/>
      <c r="E170" s="270" t="s">
        <v>965</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1"/>
      <c r="C171" s="291"/>
      <c r="D171" s="300"/>
      <c r="E171" s="270" t="s">
        <v>966</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1"/>
      <c r="C172" s="291"/>
      <c r="D172" s="300"/>
      <c r="E172" s="267" t="s">
        <v>967</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1"/>
      <c r="C173" s="291"/>
      <c r="D173" s="300"/>
      <c r="E173" s="271" t="s">
        <v>968</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1"/>
      <c r="C174" s="291"/>
      <c r="D174" s="300"/>
      <c r="E174" s="272" t="s">
        <v>969</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1"/>
      <c r="C175" s="291"/>
      <c r="D175" s="300"/>
      <c r="E175" s="272" t="s">
        <v>970</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1"/>
      <c r="C176" s="291"/>
      <c r="D176" s="300"/>
      <c r="E176" s="267" t="s">
        <v>971</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1"/>
      <c r="C177" s="291"/>
      <c r="D177" s="300"/>
      <c r="E177" s="268" t="s">
        <v>972</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1"/>
      <c r="C178" s="291"/>
      <c r="D178" s="300"/>
      <c r="E178" s="268" t="s">
        <v>973</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1"/>
      <c r="C179" s="291"/>
      <c r="D179" s="300"/>
      <c r="E179" s="268" t="s">
        <v>974</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1"/>
      <c r="C180" s="291"/>
      <c r="D180" s="300"/>
      <c r="E180" s="268" t="s">
        <v>975</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1"/>
      <c r="C181" s="291"/>
      <c r="D181" s="300"/>
      <c r="E181" s="267" t="s">
        <v>303</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1"/>
      <c r="C182" s="291"/>
      <c r="D182" s="300"/>
      <c r="E182" s="267" t="s">
        <v>304</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1"/>
      <c r="C183" s="291"/>
      <c r="D183" s="300"/>
      <c r="E183" s="268" t="s">
        <v>347</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1"/>
      <c r="C184" s="291"/>
      <c r="D184" s="300"/>
      <c r="E184" s="268" t="s">
        <v>348</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1"/>
      <c r="C185" s="291"/>
      <c r="D185" s="300"/>
      <c r="E185" s="267" t="s">
        <v>349</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1"/>
      <c r="C186" s="291"/>
      <c r="D186" s="300"/>
      <c r="E186" s="272" t="s">
        <v>249</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1"/>
      <c r="C187" s="291"/>
      <c r="D187" s="300"/>
      <c r="E187" s="266" t="s">
        <v>259</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1"/>
      <c r="C188" s="291"/>
      <c r="D188" s="300"/>
      <c r="E188" s="271" t="s">
        <v>260</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1"/>
      <c r="C189" s="291"/>
      <c r="D189" s="300"/>
      <c r="E189" s="272" t="s">
        <v>351</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1"/>
      <c r="C190" s="291"/>
      <c r="D190" s="300"/>
      <c r="E190" s="272" t="s">
        <v>899</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1"/>
      <c r="C191" s="291"/>
      <c r="D191" s="300"/>
      <c r="E191" s="272" t="s">
        <v>900</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1"/>
      <c r="C192" s="291"/>
      <c r="D192" s="300"/>
      <c r="E192" s="272" t="s">
        <v>901</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1"/>
      <c r="C193" s="291"/>
      <c r="D193" s="300"/>
      <c r="E193" s="267" t="s">
        <v>467</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1"/>
      <c r="C194" s="291"/>
      <c r="D194" s="300"/>
      <c r="E194" s="47" t="s">
        <v>427</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1"/>
      <c r="C195" s="291"/>
      <c r="D195" s="300"/>
      <c r="E195" s="47" t="s">
        <v>934</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1"/>
      <c r="C196" s="291"/>
      <c r="D196" s="300"/>
      <c r="E196" s="47" t="s">
        <v>421</v>
      </c>
      <c r="F196" s="45"/>
      <c r="G196" s="46"/>
      <c r="H196" s="216"/>
      <c r="I196" s="249">
        <v>3110</v>
      </c>
      <c r="J196" s="9">
        <v>179200</v>
      </c>
      <c r="K196" s="49"/>
      <c r="L196" s="49"/>
      <c r="M196" s="49"/>
      <c r="N196" s="49"/>
      <c r="O196" s="49"/>
      <c r="P196" s="49"/>
      <c r="Q196" s="49"/>
      <c r="R196" s="49"/>
      <c r="S196" s="49"/>
      <c r="T196" s="49">
        <v>179200</v>
      </c>
      <c r="U196" s="49"/>
      <c r="V196" s="49"/>
      <c r="W196" s="49"/>
      <c r="X196" s="40">
        <f t="shared" si="12"/>
        <v>179200</v>
      </c>
    </row>
    <row r="197" spans="2:24" ht="47.25">
      <c r="B197" s="291"/>
      <c r="C197" s="291"/>
      <c r="D197" s="300"/>
      <c r="E197" s="31" t="s">
        <v>635</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1"/>
      <c r="C198" s="291"/>
      <c r="D198" s="300"/>
      <c r="E198" s="31" t="s">
        <v>636</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1"/>
      <c r="C199" s="291"/>
      <c r="D199" s="300"/>
      <c r="E199" s="73" t="s">
        <v>637</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f>
        <v>670360</v>
      </c>
      <c r="X199" s="40">
        <f t="shared" si="12"/>
        <v>12640</v>
      </c>
    </row>
    <row r="200" spans="2:24" ht="47.25" hidden="1">
      <c r="B200" s="291"/>
      <c r="C200" s="291"/>
      <c r="D200" s="300"/>
      <c r="E200" s="74" t="s">
        <v>638</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1"/>
      <c r="C201" s="291"/>
      <c r="D201" s="300"/>
      <c r="E201" s="67" t="s">
        <v>906</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1"/>
      <c r="C202" s="291"/>
      <c r="D202" s="300"/>
      <c r="E202" s="67" t="s">
        <v>693</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f>
        <v>75811.2</v>
      </c>
      <c r="X202" s="40">
        <f t="shared" si="12"/>
        <v>98188.8</v>
      </c>
    </row>
    <row r="203" spans="2:24" ht="47.25">
      <c r="B203" s="291"/>
      <c r="C203" s="291"/>
      <c r="D203" s="300"/>
      <c r="E203" s="67" t="s">
        <v>700</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62900</v>
      </c>
    </row>
    <row r="204" spans="2:24" ht="47.25" hidden="1">
      <c r="B204" s="291"/>
      <c r="C204" s="291"/>
      <c r="D204" s="300"/>
      <c r="E204" s="67" t="s">
        <v>701</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1"/>
      <c r="C205" s="291"/>
      <c r="D205" s="300"/>
      <c r="E205" s="67" t="s">
        <v>702</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1"/>
      <c r="C206" s="291"/>
      <c r="D206" s="300"/>
      <c r="E206" s="67" t="s">
        <v>907</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1"/>
      <c r="C207" s="291"/>
      <c r="D207" s="300"/>
      <c r="E207" s="67" t="s">
        <v>430</v>
      </c>
      <c r="F207" s="49"/>
      <c r="G207" s="18"/>
      <c r="H207" s="217"/>
      <c r="I207" s="249">
        <v>3132</v>
      </c>
      <c r="J207" s="21">
        <v>145000</v>
      </c>
      <c r="K207" s="200"/>
      <c r="L207" s="200"/>
      <c r="M207" s="200"/>
      <c r="N207" s="200"/>
      <c r="O207" s="200"/>
      <c r="P207" s="200"/>
      <c r="Q207" s="200">
        <v>145000</v>
      </c>
      <c r="R207" s="200"/>
      <c r="S207" s="200"/>
      <c r="T207" s="200"/>
      <c r="U207" s="200"/>
      <c r="V207" s="200"/>
      <c r="W207" s="49">
        <f>1758.33</f>
        <v>1758.33</v>
      </c>
      <c r="X207" s="40">
        <f t="shared" si="12"/>
        <v>143241.67</v>
      </c>
    </row>
    <row r="208" spans="2:24" ht="47.25">
      <c r="B208" s="291"/>
      <c r="C208" s="291"/>
      <c r="D208" s="300"/>
      <c r="E208" s="67" t="s">
        <v>431</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1"/>
      <c r="C209" s="291"/>
      <c r="D209" s="300"/>
      <c r="E209" s="67" t="s">
        <v>432</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t="shared" si="12"/>
        <v>1071.3600000000006</v>
      </c>
    </row>
    <row r="210" spans="2:24" ht="47.25">
      <c r="B210" s="291"/>
      <c r="C210" s="291"/>
      <c r="D210" s="300"/>
      <c r="E210" s="67" t="s">
        <v>433</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2"/>
        <v>150000</v>
      </c>
    </row>
    <row r="211" spans="2:24" ht="31.5">
      <c r="B211" s="291"/>
      <c r="C211" s="291"/>
      <c r="D211" s="300"/>
      <c r="E211" s="67" t="s">
        <v>434</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2"/>
        <v>1225.7200000000012</v>
      </c>
    </row>
    <row r="212" spans="2:24" ht="31.5">
      <c r="B212" s="291"/>
      <c r="C212" s="291"/>
      <c r="D212" s="300"/>
      <c r="E212" s="67" t="s">
        <v>435</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2"/>
        <v>102253.28000000003</v>
      </c>
    </row>
    <row r="213" spans="2:24" ht="15.75">
      <c r="B213" s="291"/>
      <c r="C213" s="291"/>
      <c r="D213" s="300"/>
      <c r="E213" s="67" t="s">
        <v>436</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c r="X213" s="40">
        <f t="shared" si="12"/>
        <v>630000</v>
      </c>
    </row>
    <row r="214" spans="2:24" ht="31.5">
      <c r="B214" s="291"/>
      <c r="C214" s="291"/>
      <c r="D214" s="300"/>
      <c r="E214" s="67" t="s">
        <v>292</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2"/>
        <v>120000</v>
      </c>
    </row>
    <row r="215" spans="2:24" ht="47.25">
      <c r="B215" s="291"/>
      <c r="C215" s="291"/>
      <c r="D215" s="300"/>
      <c r="E215" s="67" t="s">
        <v>928</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2"/>
        <v>394266.03</v>
      </c>
    </row>
    <row r="216" spans="2:24" ht="47.25">
      <c r="B216" s="291"/>
      <c r="C216" s="291"/>
      <c r="D216" s="300"/>
      <c r="E216" s="67" t="s">
        <v>463</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2"/>
        <v>47825.47</v>
      </c>
    </row>
    <row r="217" spans="2:24" ht="47.25">
      <c r="B217" s="291"/>
      <c r="C217" s="291"/>
      <c r="D217" s="300"/>
      <c r="E217" s="67" t="s">
        <v>464</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2"/>
        <v>4054.1699999999837</v>
      </c>
    </row>
    <row r="218" spans="2:24" ht="47.25">
      <c r="B218" s="291"/>
      <c r="C218" s="291"/>
      <c r="D218" s="300"/>
      <c r="E218" s="67" t="s">
        <v>313</v>
      </c>
      <c r="F218" s="49">
        <v>116000</v>
      </c>
      <c r="G218" s="18">
        <f aca="true" t="shared" si="14"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2"/>
        <v>58159.25</v>
      </c>
    </row>
    <row r="219" spans="2:24" ht="63">
      <c r="B219" s="291"/>
      <c r="C219" s="291"/>
      <c r="D219" s="300"/>
      <c r="E219" s="31" t="s">
        <v>465</v>
      </c>
      <c r="F219" s="49">
        <v>120000</v>
      </c>
      <c r="G219" s="18">
        <f t="shared" si="14"/>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2"/>
        <v>136942</v>
      </c>
    </row>
    <row r="220" spans="2:24" ht="31.5">
      <c r="B220" s="291"/>
      <c r="C220" s="291"/>
      <c r="D220" s="300"/>
      <c r="E220" s="67" t="s">
        <v>466</v>
      </c>
      <c r="F220" s="49">
        <v>90000</v>
      </c>
      <c r="G220" s="18">
        <f t="shared" si="14"/>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aca="true" t="shared" si="15" ref="X220:X286">K220+L220+M220+N220+O220+P220+Q220+R220+S220+T220+U220-W220</f>
        <v>2.9558577807620168E-12</v>
      </c>
    </row>
    <row r="221" spans="2:24" ht="63">
      <c r="B221" s="291"/>
      <c r="C221" s="291"/>
      <c r="D221" s="300"/>
      <c r="E221" s="67" t="s">
        <v>442</v>
      </c>
      <c r="F221" s="49">
        <v>750000</v>
      </c>
      <c r="G221" s="18">
        <f t="shared" si="14"/>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f>
        <v>479350</v>
      </c>
      <c r="X221" s="40">
        <f t="shared" si="15"/>
        <v>566650</v>
      </c>
    </row>
    <row r="222" spans="2:24" ht="47.25">
      <c r="B222" s="291"/>
      <c r="C222" s="291"/>
      <c r="D222" s="300"/>
      <c r="E222" s="67" t="s">
        <v>293</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5"/>
        <v>48393.2</v>
      </c>
    </row>
    <row r="223" spans="2:24" ht="83.25" customHeight="1">
      <c r="B223" s="291"/>
      <c r="C223" s="291"/>
      <c r="D223" s="300"/>
      <c r="E223" s="67" t="s">
        <v>139</v>
      </c>
      <c r="F223" s="49">
        <v>3860390</v>
      </c>
      <c r="G223" s="18">
        <f t="shared" si="14"/>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5"/>
        <v>402596</v>
      </c>
    </row>
    <row r="224" spans="2:24" ht="47.25">
      <c r="B224" s="291"/>
      <c r="C224" s="291"/>
      <c r="D224" s="300"/>
      <c r="E224" s="65" t="s">
        <v>651</v>
      </c>
      <c r="F224" s="49">
        <v>858213</v>
      </c>
      <c r="G224" s="18">
        <f t="shared" si="14"/>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f>
        <v>690722.16</v>
      </c>
      <c r="X224" s="40">
        <f t="shared" si="15"/>
        <v>277.8399999999674</v>
      </c>
    </row>
    <row r="225" spans="2:24" ht="31.5" hidden="1">
      <c r="B225" s="291"/>
      <c r="C225" s="291"/>
      <c r="D225" s="300"/>
      <c r="E225" s="65" t="s">
        <v>933</v>
      </c>
      <c r="F225" s="49">
        <v>216968</v>
      </c>
      <c r="G225" s="18">
        <f t="shared" si="14"/>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5"/>
        <v>0</v>
      </c>
    </row>
    <row r="226" spans="2:24" ht="47.25">
      <c r="B226" s="291"/>
      <c r="C226" s="291"/>
      <c r="D226" s="300"/>
      <c r="E226" s="67" t="s">
        <v>929</v>
      </c>
      <c r="F226" s="49">
        <v>335000</v>
      </c>
      <c r="G226" s="18">
        <f t="shared" si="14"/>
        <v>1</v>
      </c>
      <c r="H226" s="220">
        <v>335000</v>
      </c>
      <c r="I226" s="249">
        <v>3132</v>
      </c>
      <c r="J226" s="21">
        <v>335000</v>
      </c>
      <c r="K226" s="200"/>
      <c r="L226" s="200"/>
      <c r="M226" s="200"/>
      <c r="N226" s="200"/>
      <c r="O226" s="200"/>
      <c r="P226" s="200"/>
      <c r="Q226" s="200">
        <v>335000</v>
      </c>
      <c r="R226" s="200"/>
      <c r="S226" s="200"/>
      <c r="T226" s="200"/>
      <c r="U226" s="200"/>
      <c r="V226" s="200"/>
      <c r="W226" s="49">
        <v>55800</v>
      </c>
      <c r="X226" s="40">
        <f t="shared" si="15"/>
        <v>279200</v>
      </c>
    </row>
    <row r="227" spans="2:24" ht="31.5">
      <c r="B227" s="291"/>
      <c r="C227" s="291"/>
      <c r="D227" s="300"/>
      <c r="E227" s="31" t="s">
        <v>930</v>
      </c>
      <c r="F227" s="49">
        <v>1231000</v>
      </c>
      <c r="G227" s="18">
        <f t="shared" si="14"/>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5"/>
        <v>8000</v>
      </c>
    </row>
    <row r="228" spans="2:24" ht="31.5">
      <c r="B228" s="291"/>
      <c r="C228" s="291"/>
      <c r="D228" s="300"/>
      <c r="E228" s="67" t="s">
        <v>513</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5"/>
        <v>317000</v>
      </c>
    </row>
    <row r="229" spans="2:24" ht="15.75">
      <c r="B229" s="291"/>
      <c r="C229" s="291"/>
      <c r="D229" s="300"/>
      <c r="E229" s="74" t="s">
        <v>234</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5"/>
        <v>1265.7999999999884</v>
      </c>
    </row>
    <row r="230" spans="2:24" ht="47.25">
      <c r="B230" s="291"/>
      <c r="C230" s="291"/>
      <c r="D230" s="300"/>
      <c r="E230" s="31" t="s">
        <v>235</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5"/>
        <v>1839.640000000014</v>
      </c>
    </row>
    <row r="231" spans="2:24" ht="31.5">
      <c r="B231" s="291"/>
      <c r="C231" s="291"/>
      <c r="D231" s="300"/>
      <c r="E231" s="31" t="s">
        <v>236</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5"/>
        <v>33791.79999999999</v>
      </c>
    </row>
    <row r="232" spans="2:24" ht="63">
      <c r="B232" s="291"/>
      <c r="C232" s="291"/>
      <c r="D232" s="300"/>
      <c r="E232" s="75" t="s">
        <v>57</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5"/>
        <v>1662.4000000000233</v>
      </c>
    </row>
    <row r="233" spans="2:24" ht="47.25">
      <c r="B233" s="291"/>
      <c r="C233" s="291"/>
      <c r="D233" s="300"/>
      <c r="E233" s="31" t="s">
        <v>58</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5"/>
        <v>7866.199999999997</v>
      </c>
    </row>
    <row r="234" spans="2:24" ht="47.25">
      <c r="B234" s="291"/>
      <c r="C234" s="291"/>
      <c r="D234" s="300"/>
      <c r="E234" s="31" t="s">
        <v>460</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5"/>
        <v>239612.66</v>
      </c>
    </row>
    <row r="235" spans="2:24" ht="66" customHeight="1">
      <c r="B235" s="291"/>
      <c r="C235" s="291"/>
      <c r="D235" s="300"/>
      <c r="E235" s="31" t="s">
        <v>502</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5"/>
        <v>4725.799999999988</v>
      </c>
    </row>
    <row r="236" spans="2:24" ht="31.5">
      <c r="B236" s="291"/>
      <c r="C236" s="291"/>
      <c r="D236" s="300"/>
      <c r="E236" s="31" t="s">
        <v>503</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5"/>
        <v>37834.200000000004</v>
      </c>
    </row>
    <row r="237" spans="2:24" ht="31.5">
      <c r="B237" s="291"/>
      <c r="C237" s="291"/>
      <c r="D237" s="300"/>
      <c r="E237" s="31" t="s">
        <v>504</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f>
        <v>42001.9</v>
      </c>
      <c r="X237" s="40">
        <f t="shared" si="15"/>
        <v>37998.1</v>
      </c>
    </row>
    <row r="238" spans="2:24" ht="31.5">
      <c r="B238" s="291"/>
      <c r="C238" s="291"/>
      <c r="D238" s="300"/>
      <c r="E238" s="31" t="s">
        <v>505</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5"/>
        <v>9311.199999999997</v>
      </c>
    </row>
    <row r="239" spans="2:24" ht="47.25">
      <c r="B239" s="291"/>
      <c r="C239" s="291"/>
      <c r="D239" s="300"/>
      <c r="E239" s="31" t="s">
        <v>506</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v>100500</v>
      </c>
      <c r="X239" s="40">
        <f t="shared" si="15"/>
        <v>351500</v>
      </c>
    </row>
    <row r="240" spans="2:24" ht="47.25">
      <c r="B240" s="291"/>
      <c r="C240" s="291"/>
      <c r="D240" s="300"/>
      <c r="E240" s="31" t="s">
        <v>507</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5"/>
        <v>50000</v>
      </c>
    </row>
    <row r="241" spans="2:24" ht="31.5">
      <c r="B241" s="291"/>
      <c r="C241" s="291"/>
      <c r="D241" s="300"/>
      <c r="E241" s="31" t="s">
        <v>963</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5"/>
        <v>2138.3899999999994</v>
      </c>
    </row>
    <row r="242" spans="2:24" ht="31.5">
      <c r="B242" s="291"/>
      <c r="C242" s="291"/>
      <c r="D242" s="300"/>
      <c r="E242" s="31" t="s">
        <v>964</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5"/>
        <v>2667.199999999997</v>
      </c>
    </row>
    <row r="243" spans="2:24" ht="31.5">
      <c r="B243" s="291"/>
      <c r="C243" s="291"/>
      <c r="D243" s="300"/>
      <c r="E243" s="31" t="s">
        <v>190</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5"/>
        <v>197286.8</v>
      </c>
    </row>
    <row r="244" spans="2:24" ht="31.5">
      <c r="B244" s="291"/>
      <c r="C244" s="291"/>
      <c r="D244" s="300"/>
      <c r="E244" s="31" t="s">
        <v>191</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5"/>
        <v>32149.23</v>
      </c>
    </row>
    <row r="245" spans="2:24" ht="31.5">
      <c r="B245" s="291"/>
      <c r="C245" s="291"/>
      <c r="D245" s="300"/>
      <c r="E245" s="31" t="s">
        <v>192</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5"/>
        <v>40307.100000000006</v>
      </c>
    </row>
    <row r="246" spans="2:24" ht="47.25" hidden="1">
      <c r="B246" s="291"/>
      <c r="C246" s="291"/>
      <c r="D246" s="300"/>
      <c r="E246" s="31" t="s">
        <v>193</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5"/>
        <v>0</v>
      </c>
    </row>
    <row r="247" spans="2:24" ht="47.25">
      <c r="B247" s="291"/>
      <c r="C247" s="291"/>
      <c r="D247" s="300"/>
      <c r="E247" s="31" t="s">
        <v>264</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f>
        <v>312216</v>
      </c>
      <c r="X247" s="40">
        <f t="shared" si="15"/>
        <v>203784</v>
      </c>
    </row>
    <row r="248" spans="2:24" ht="47.25">
      <c r="B248" s="291"/>
      <c r="C248" s="291"/>
      <c r="D248" s="300"/>
      <c r="E248" s="31" t="s">
        <v>265</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f>
        <v>966519.4</v>
      </c>
      <c r="X248" s="40">
        <f t="shared" si="15"/>
        <v>80.59999999997672</v>
      </c>
    </row>
    <row r="249" spans="2:24" ht="47.25">
      <c r="B249" s="291"/>
      <c r="C249" s="291"/>
      <c r="D249" s="300"/>
      <c r="E249" s="31" t="s">
        <v>266</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5"/>
        <v>4200.6500000000015</v>
      </c>
    </row>
    <row r="250" spans="2:24" ht="47.25">
      <c r="B250" s="291"/>
      <c r="C250" s="291"/>
      <c r="D250" s="300"/>
      <c r="E250" s="31" t="s">
        <v>267</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v>24827.9</v>
      </c>
      <c r="X250" s="40">
        <f t="shared" si="15"/>
        <v>25172.1</v>
      </c>
    </row>
    <row r="251" spans="2:24" ht="31.5">
      <c r="B251" s="291"/>
      <c r="C251" s="291"/>
      <c r="D251" s="300"/>
      <c r="E251" s="31" t="s">
        <v>515</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5"/>
        <v>1895</v>
      </c>
    </row>
    <row r="252" spans="2:24" ht="31.5">
      <c r="B252" s="291"/>
      <c r="C252" s="291"/>
      <c r="D252" s="300"/>
      <c r="E252" s="31" t="s">
        <v>268</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5"/>
        <v>504</v>
      </c>
    </row>
    <row r="253" spans="2:24" ht="31.5">
      <c r="B253" s="291"/>
      <c r="C253" s="291"/>
      <c r="D253" s="300"/>
      <c r="E253" s="31" t="s">
        <v>514</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5"/>
        <v>143991.88</v>
      </c>
    </row>
    <row r="254" spans="2:24" ht="31.5">
      <c r="B254" s="291"/>
      <c r="C254" s="291"/>
      <c r="D254" s="300"/>
      <c r="E254" s="31" t="s">
        <v>269</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5"/>
        <v>54566</v>
      </c>
    </row>
    <row r="255" spans="2:24" ht="31.5">
      <c r="B255" s="291"/>
      <c r="C255" s="291"/>
      <c r="D255" s="300"/>
      <c r="E255" s="31" t="s">
        <v>270</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5"/>
        <v>61000</v>
      </c>
    </row>
    <row r="256" spans="2:24" ht="31.5">
      <c r="B256" s="291"/>
      <c r="C256" s="291"/>
      <c r="D256" s="300"/>
      <c r="E256" s="31" t="s">
        <v>459</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f>
        <v>11680</v>
      </c>
      <c r="X256" s="40">
        <f t="shared" si="15"/>
        <v>355320</v>
      </c>
    </row>
    <row r="257" spans="2:24" ht="47.25">
      <c r="B257" s="291"/>
      <c r="C257" s="291"/>
      <c r="D257" s="300"/>
      <c r="E257" s="31" t="s">
        <v>438</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5"/>
        <v>1767.8799999999974</v>
      </c>
    </row>
    <row r="258" spans="2:24" ht="63">
      <c r="B258" s="291"/>
      <c r="C258" s="291"/>
      <c r="D258" s="300"/>
      <c r="E258" s="31" t="s">
        <v>439</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5"/>
        <v>63.279999999999745</v>
      </c>
    </row>
    <row r="259" spans="2:24" ht="47.25">
      <c r="B259" s="291"/>
      <c r="C259" s="291"/>
      <c r="D259" s="300"/>
      <c r="E259" s="31" t="s">
        <v>445</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5"/>
        <v>368656.29000000004</v>
      </c>
    </row>
    <row r="260" spans="2:24" ht="31.5" hidden="1">
      <c r="B260" s="291"/>
      <c r="C260" s="291"/>
      <c r="D260" s="300"/>
      <c r="E260" s="31" t="s">
        <v>569</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5"/>
        <v>0</v>
      </c>
    </row>
    <row r="261" spans="2:24" ht="31.5">
      <c r="B261" s="291"/>
      <c r="C261" s="291"/>
      <c r="D261" s="300"/>
      <c r="E261" s="29" t="s">
        <v>327</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5"/>
        <v>382640.5</v>
      </c>
    </row>
    <row r="262" spans="2:24" ht="47.25">
      <c r="B262" s="291"/>
      <c r="C262" s="291"/>
      <c r="D262" s="300"/>
      <c r="E262" s="29" t="s">
        <v>328</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5"/>
        <v>0.41000000000349246</v>
      </c>
    </row>
    <row r="263" spans="2:24" ht="47.25">
      <c r="B263" s="291"/>
      <c r="C263" s="291"/>
      <c r="D263" s="300"/>
      <c r="E263" s="29" t="s">
        <v>956</v>
      </c>
      <c r="F263" s="49"/>
      <c r="G263" s="18"/>
      <c r="H263" s="220"/>
      <c r="I263" s="249">
        <v>3132</v>
      </c>
      <c r="J263" s="21">
        <v>223000</v>
      </c>
      <c r="K263" s="49"/>
      <c r="L263" s="49"/>
      <c r="M263" s="49"/>
      <c r="N263" s="49"/>
      <c r="O263" s="49"/>
      <c r="P263" s="49"/>
      <c r="Q263" s="49"/>
      <c r="R263" s="49"/>
      <c r="S263" s="21">
        <v>223000</v>
      </c>
      <c r="T263" s="49"/>
      <c r="U263" s="49"/>
      <c r="V263" s="49"/>
      <c r="W263" s="49">
        <f>109494</f>
        <v>109494</v>
      </c>
      <c r="X263" s="40">
        <f t="shared" si="15"/>
        <v>113506</v>
      </c>
    </row>
    <row r="264" spans="2:24" ht="31.5">
      <c r="B264" s="291"/>
      <c r="C264" s="291"/>
      <c r="D264" s="300"/>
      <c r="E264" s="29" t="s">
        <v>957</v>
      </c>
      <c r="F264" s="49"/>
      <c r="G264" s="18"/>
      <c r="H264" s="220"/>
      <c r="I264" s="249">
        <v>3132</v>
      </c>
      <c r="J264" s="21">
        <v>298000</v>
      </c>
      <c r="K264" s="49"/>
      <c r="L264" s="49"/>
      <c r="M264" s="49"/>
      <c r="N264" s="49"/>
      <c r="O264" s="49"/>
      <c r="P264" s="49"/>
      <c r="Q264" s="49"/>
      <c r="R264" s="49"/>
      <c r="S264" s="21">
        <v>298000</v>
      </c>
      <c r="T264" s="49"/>
      <c r="U264" s="49"/>
      <c r="V264" s="49"/>
      <c r="W264" s="49">
        <f>204663.2</f>
        <v>204663.2</v>
      </c>
      <c r="X264" s="40">
        <f t="shared" si="15"/>
        <v>93336.79999999999</v>
      </c>
    </row>
    <row r="265" spans="2:24" ht="31.5">
      <c r="B265" s="291"/>
      <c r="C265" s="291"/>
      <c r="D265" s="300"/>
      <c r="E265" s="29" t="s">
        <v>960</v>
      </c>
      <c r="F265" s="49"/>
      <c r="G265" s="18"/>
      <c r="H265" s="220"/>
      <c r="I265" s="249">
        <v>3132</v>
      </c>
      <c r="J265" s="21">
        <v>100000</v>
      </c>
      <c r="K265" s="49"/>
      <c r="L265" s="49"/>
      <c r="M265" s="49"/>
      <c r="N265" s="49"/>
      <c r="O265" s="49"/>
      <c r="P265" s="49"/>
      <c r="Q265" s="49"/>
      <c r="R265" s="49"/>
      <c r="S265" s="21">
        <v>100000</v>
      </c>
      <c r="T265" s="49"/>
      <c r="U265" s="49"/>
      <c r="V265" s="49"/>
      <c r="W265" s="49">
        <f>68612.6</f>
        <v>68612.6</v>
      </c>
      <c r="X265" s="40">
        <f t="shared" si="15"/>
        <v>31387.399999999994</v>
      </c>
    </row>
    <row r="266" spans="2:24" ht="31.5">
      <c r="B266" s="291"/>
      <c r="C266" s="291"/>
      <c r="D266" s="300"/>
      <c r="E266" s="31" t="s">
        <v>98</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f>
        <v>471125.91</v>
      </c>
      <c r="X266" s="40">
        <f t="shared" si="15"/>
        <v>8874.090000000026</v>
      </c>
    </row>
    <row r="267" spans="2:24" ht="31.5">
      <c r="B267" s="291"/>
      <c r="C267" s="291"/>
      <c r="D267" s="300"/>
      <c r="E267" s="29" t="s">
        <v>319</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5"/>
        <v>12993</v>
      </c>
    </row>
    <row r="268" spans="2:24" ht="31.5">
      <c r="B268" s="291"/>
      <c r="C268" s="291"/>
      <c r="D268" s="300"/>
      <c r="E268" s="29" t="s">
        <v>320</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5"/>
        <v>249346.44</v>
      </c>
    </row>
    <row r="269" spans="2:24" ht="31.5">
      <c r="B269" s="291"/>
      <c r="C269" s="291"/>
      <c r="D269" s="300"/>
      <c r="E269" s="29" t="s">
        <v>321</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f>
        <v>3178.38</v>
      </c>
      <c r="X269" s="40">
        <f t="shared" si="15"/>
        <v>228821.62</v>
      </c>
    </row>
    <row r="270" spans="2:24" ht="31.5">
      <c r="B270" s="291"/>
      <c r="C270" s="291"/>
      <c r="D270" s="300"/>
      <c r="E270" s="29" t="s">
        <v>322</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5"/>
        <v>49860</v>
      </c>
    </row>
    <row r="271" spans="2:24" ht="47.25">
      <c r="B271" s="291"/>
      <c r="C271" s="291"/>
      <c r="D271" s="300"/>
      <c r="E271" s="29" t="s">
        <v>323</v>
      </c>
      <c r="F271" s="49"/>
      <c r="G271" s="18"/>
      <c r="H271" s="220"/>
      <c r="I271" s="249">
        <v>3132</v>
      </c>
      <c r="J271" s="21">
        <v>256000</v>
      </c>
      <c r="K271" s="49"/>
      <c r="L271" s="49"/>
      <c r="M271" s="49"/>
      <c r="N271" s="49"/>
      <c r="O271" s="49"/>
      <c r="P271" s="49"/>
      <c r="Q271" s="49"/>
      <c r="R271" s="49"/>
      <c r="S271" s="21">
        <v>256000</v>
      </c>
      <c r="T271" s="49"/>
      <c r="U271" s="49"/>
      <c r="V271" s="49"/>
      <c r="W271" s="49"/>
      <c r="X271" s="40">
        <f t="shared" si="15"/>
        <v>256000</v>
      </c>
    </row>
    <row r="272" spans="2:24" ht="47.25">
      <c r="B272" s="291"/>
      <c r="C272" s="291"/>
      <c r="D272" s="300"/>
      <c r="E272" s="29" t="s">
        <v>324</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5"/>
        <v>16247.5</v>
      </c>
    </row>
    <row r="273" spans="2:24" ht="47.25">
      <c r="B273" s="291"/>
      <c r="C273" s="291"/>
      <c r="D273" s="300"/>
      <c r="E273" s="29" t="s">
        <v>325</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t="shared" si="15"/>
        <v>77173.56</v>
      </c>
    </row>
    <row r="274" spans="2:24" ht="31.5">
      <c r="B274" s="291"/>
      <c r="C274" s="291"/>
      <c r="D274" s="300"/>
      <c r="E274" s="29" t="s">
        <v>810</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5"/>
        <v>30095</v>
      </c>
    </row>
    <row r="275" spans="2:24" ht="31.5">
      <c r="B275" s="291"/>
      <c r="C275" s="291"/>
      <c r="D275" s="300"/>
      <c r="E275" s="29" t="s">
        <v>811</v>
      </c>
      <c r="F275" s="49"/>
      <c r="G275" s="18"/>
      <c r="H275" s="220"/>
      <c r="I275" s="249">
        <v>3132</v>
      </c>
      <c r="J275" s="21">
        <v>20000</v>
      </c>
      <c r="K275" s="49"/>
      <c r="L275" s="49"/>
      <c r="M275" s="49"/>
      <c r="N275" s="49"/>
      <c r="O275" s="49"/>
      <c r="P275" s="49"/>
      <c r="Q275" s="49"/>
      <c r="R275" s="49"/>
      <c r="S275" s="21"/>
      <c r="T275" s="49">
        <v>20000</v>
      </c>
      <c r="U275" s="49"/>
      <c r="V275" s="49"/>
      <c r="W275" s="49"/>
      <c r="X275" s="40">
        <f t="shared" si="15"/>
        <v>20000</v>
      </c>
    </row>
    <row r="276" spans="2:24" ht="31.5">
      <c r="B276" s="291"/>
      <c r="C276" s="291"/>
      <c r="D276" s="300"/>
      <c r="E276" s="29" t="s">
        <v>126</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5"/>
        <v>34313.520000000004</v>
      </c>
    </row>
    <row r="277" spans="2:24" ht="31.5">
      <c r="B277" s="291"/>
      <c r="C277" s="291"/>
      <c r="D277" s="300"/>
      <c r="E277" s="29" t="s">
        <v>127</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5"/>
        <v>1086</v>
      </c>
    </row>
    <row r="278" spans="2:30" ht="31.5">
      <c r="B278" s="291"/>
      <c r="C278" s="291"/>
      <c r="D278" s="300"/>
      <c r="E278" s="29" t="s">
        <v>488</v>
      </c>
      <c r="F278" s="49"/>
      <c r="G278" s="18"/>
      <c r="H278" s="220"/>
      <c r="I278" s="249">
        <v>3132</v>
      </c>
      <c r="J278" s="21">
        <v>100000</v>
      </c>
      <c r="K278" s="49"/>
      <c r="L278" s="49"/>
      <c r="M278" s="49"/>
      <c r="N278" s="49"/>
      <c r="O278" s="49"/>
      <c r="P278" s="49"/>
      <c r="Q278" s="49"/>
      <c r="R278" s="49"/>
      <c r="S278" s="21"/>
      <c r="T278" s="49"/>
      <c r="U278" s="49">
        <v>100000</v>
      </c>
      <c r="V278" s="49"/>
      <c r="W278" s="49"/>
      <c r="X278" s="40">
        <f t="shared" si="15"/>
        <v>100000</v>
      </c>
      <c r="Y278" s="40">
        <f>L278+M278+N278+O278+P278+Q278+R278+S278+T278+U278+V278-X278</f>
        <v>0</v>
      </c>
      <c r="Z278" s="40">
        <f>M278+N278+O278+P278+Q278+R278+S278+T278+U278+V278+W278-Y278</f>
        <v>100000</v>
      </c>
      <c r="AA278" s="40">
        <f>N278+O278+P278+Q278+R278+S278+T278+U278+V278+W278+X278-Z278</f>
        <v>100000</v>
      </c>
      <c r="AB278" s="40">
        <f>O278+P278+Q278+R278+S278+T278+U278+V278+W278+X278+Y278-AA278</f>
        <v>100000</v>
      </c>
      <c r="AC278" s="40">
        <f>P278+Q278+R278+S278+T278+U278+V278+W278+X278+Y278+Z278-AB278</f>
        <v>200000</v>
      </c>
      <c r="AD278" s="40">
        <f>Q278+R278+S278+T278+U278+V278+W278+X278+Y278+Z278+AA278-AC278</f>
        <v>200000</v>
      </c>
    </row>
    <row r="279" spans="2:24" ht="31.5">
      <c r="B279" s="291"/>
      <c r="C279" s="291"/>
      <c r="D279" s="300"/>
      <c r="E279" s="29" t="s">
        <v>288</v>
      </c>
      <c r="F279" s="49"/>
      <c r="G279" s="18"/>
      <c r="H279" s="220"/>
      <c r="I279" s="249">
        <v>3132</v>
      </c>
      <c r="J279" s="21">
        <v>600000</v>
      </c>
      <c r="K279" s="49"/>
      <c r="L279" s="49"/>
      <c r="M279" s="49"/>
      <c r="N279" s="49"/>
      <c r="O279" s="49"/>
      <c r="P279" s="49"/>
      <c r="Q279" s="49"/>
      <c r="R279" s="49"/>
      <c r="S279" s="21"/>
      <c r="T279" s="49"/>
      <c r="U279" s="49">
        <v>600000</v>
      </c>
      <c r="V279" s="49"/>
      <c r="W279" s="49"/>
      <c r="X279" s="40">
        <f t="shared" si="15"/>
        <v>600000</v>
      </c>
    </row>
    <row r="280" spans="2:24" ht="47.25">
      <c r="B280" s="292"/>
      <c r="C280" s="292"/>
      <c r="D280" s="301"/>
      <c r="E280" s="29" t="s">
        <v>59</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5"/>
        <v>7172.800000000003</v>
      </c>
    </row>
    <row r="281" spans="2:24" ht="15.75">
      <c r="B281" s="288" t="s">
        <v>745</v>
      </c>
      <c r="C281" s="288" t="s">
        <v>367</v>
      </c>
      <c r="D281" s="299" t="s">
        <v>516</v>
      </c>
      <c r="E281" s="31"/>
      <c r="F281" s="49"/>
      <c r="G281" s="18"/>
      <c r="H281" s="220"/>
      <c r="I281" s="249"/>
      <c r="J281" s="209">
        <f>SUM(J282:J294)</f>
        <v>694000</v>
      </c>
      <c r="K281" s="209">
        <f aca="true" t="shared" si="18" ref="K281:W281">SUM(K282:K294)</f>
        <v>0</v>
      </c>
      <c r="L281" s="209">
        <f t="shared" si="18"/>
        <v>0</v>
      </c>
      <c r="M281" s="209">
        <f t="shared" si="18"/>
        <v>0</v>
      </c>
      <c r="N281" s="209">
        <f t="shared" si="18"/>
        <v>0</v>
      </c>
      <c r="O281" s="209">
        <f t="shared" si="18"/>
        <v>45000</v>
      </c>
      <c r="P281" s="209">
        <f t="shared" si="18"/>
        <v>85000</v>
      </c>
      <c r="Q281" s="209">
        <f t="shared" si="18"/>
        <v>212500</v>
      </c>
      <c r="R281" s="209">
        <f t="shared" si="18"/>
        <v>147500</v>
      </c>
      <c r="S281" s="209">
        <f t="shared" si="18"/>
        <v>94000</v>
      </c>
      <c r="T281" s="209">
        <f t="shared" si="18"/>
        <v>0</v>
      </c>
      <c r="U281" s="209">
        <f t="shared" si="18"/>
        <v>20000</v>
      </c>
      <c r="V281" s="209">
        <f t="shared" si="18"/>
        <v>90000</v>
      </c>
      <c r="W281" s="209">
        <f t="shared" si="18"/>
        <v>295544.26</v>
      </c>
      <c r="X281" s="184">
        <f t="shared" si="15"/>
        <v>308455.74</v>
      </c>
    </row>
    <row r="282" spans="2:24" ht="63">
      <c r="B282" s="289"/>
      <c r="C282" s="289"/>
      <c r="D282" s="300"/>
      <c r="E282" s="31" t="s">
        <v>271</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5"/>
        <v>1.5399999999935972</v>
      </c>
    </row>
    <row r="283" spans="2:24" ht="47.25" hidden="1">
      <c r="B283" s="289"/>
      <c r="C283" s="289"/>
      <c r="D283" s="300"/>
      <c r="E283" s="31" t="s">
        <v>223</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5"/>
        <v>0</v>
      </c>
    </row>
    <row r="284" spans="2:24" ht="47.25">
      <c r="B284" s="289"/>
      <c r="C284" s="289"/>
      <c r="D284" s="300"/>
      <c r="E284" s="31" t="s">
        <v>224</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5"/>
        <v>0.19999999999708962</v>
      </c>
    </row>
    <row r="285" spans="2:24" ht="31.5">
      <c r="B285" s="289"/>
      <c r="C285" s="289"/>
      <c r="D285" s="300"/>
      <c r="E285" s="31" t="s">
        <v>959</v>
      </c>
      <c r="F285" s="49"/>
      <c r="G285" s="18"/>
      <c r="H285" s="220"/>
      <c r="I285" s="249">
        <v>3132</v>
      </c>
      <c r="J285" s="21">
        <v>32000</v>
      </c>
      <c r="K285" s="49"/>
      <c r="L285" s="49"/>
      <c r="M285" s="49"/>
      <c r="N285" s="49"/>
      <c r="O285" s="49"/>
      <c r="P285" s="49"/>
      <c r="Q285" s="49"/>
      <c r="R285" s="49"/>
      <c r="S285" s="49">
        <v>32000</v>
      </c>
      <c r="T285" s="49"/>
      <c r="U285" s="49"/>
      <c r="V285" s="49"/>
      <c r="W285" s="49"/>
      <c r="X285" s="40">
        <f t="shared" si="15"/>
        <v>32000</v>
      </c>
    </row>
    <row r="286" spans="2:24" ht="63">
      <c r="B286" s="289"/>
      <c r="C286" s="289"/>
      <c r="D286" s="300"/>
      <c r="E286" s="31" t="s">
        <v>441</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5"/>
        <v>0</v>
      </c>
    </row>
    <row r="287" spans="2:24" ht="63" hidden="1">
      <c r="B287" s="289"/>
      <c r="C287" s="289"/>
      <c r="D287" s="300"/>
      <c r="E287" s="31" t="s">
        <v>908</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aca="true" t="shared" si="19" ref="X287:X353">K287+L287+M287+N287+O287+P287+Q287+R287+S287+T287+U287-W287</f>
        <v>0</v>
      </c>
    </row>
    <row r="288" spans="2:24" ht="63">
      <c r="B288" s="289"/>
      <c r="C288" s="289"/>
      <c r="D288" s="300"/>
      <c r="E288" s="31" t="s">
        <v>787</v>
      </c>
      <c r="F288" s="49"/>
      <c r="G288" s="18"/>
      <c r="H288" s="220"/>
      <c r="I288" s="249">
        <v>3132</v>
      </c>
      <c r="J288" s="21">
        <v>150000</v>
      </c>
      <c r="K288" s="49"/>
      <c r="L288" s="49"/>
      <c r="M288" s="49"/>
      <c r="N288" s="49"/>
      <c r="O288" s="49">
        <v>10000</v>
      </c>
      <c r="P288" s="49"/>
      <c r="Q288" s="49">
        <v>50000</v>
      </c>
      <c r="R288" s="49"/>
      <c r="S288" s="49"/>
      <c r="T288" s="49"/>
      <c r="U288" s="49"/>
      <c r="V288" s="49">
        <v>90000</v>
      </c>
      <c r="W288" s="49">
        <v>1071.6</v>
      </c>
      <c r="X288" s="40">
        <f t="shared" si="19"/>
        <v>58928.4</v>
      </c>
    </row>
    <row r="289" spans="2:24" ht="63" hidden="1">
      <c r="B289" s="289"/>
      <c r="C289" s="289"/>
      <c r="D289" s="300"/>
      <c r="E289" s="31" t="s">
        <v>788</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9"/>
        <v>0</v>
      </c>
    </row>
    <row r="290" spans="2:24" ht="47.25">
      <c r="B290" s="289"/>
      <c r="C290" s="289"/>
      <c r="D290" s="300"/>
      <c r="E290" s="31" t="s">
        <v>99</v>
      </c>
      <c r="F290" s="49"/>
      <c r="G290" s="18"/>
      <c r="H290" s="220"/>
      <c r="I290" s="249">
        <v>3110</v>
      </c>
      <c r="J290" s="21">
        <v>92500</v>
      </c>
      <c r="K290" s="49"/>
      <c r="L290" s="49"/>
      <c r="M290" s="49"/>
      <c r="N290" s="49"/>
      <c r="O290" s="49"/>
      <c r="P290" s="49"/>
      <c r="Q290" s="49"/>
      <c r="R290" s="49"/>
      <c r="S290" s="49">
        <v>92500</v>
      </c>
      <c r="T290" s="49"/>
      <c r="U290" s="49"/>
      <c r="V290" s="49"/>
      <c r="W290" s="49"/>
      <c r="X290" s="40">
        <f t="shared" si="19"/>
        <v>92500</v>
      </c>
    </row>
    <row r="291" spans="2:24" ht="31.5">
      <c r="B291" s="289"/>
      <c r="C291" s="289"/>
      <c r="D291" s="300"/>
      <c r="E291" s="31" t="s">
        <v>100</v>
      </c>
      <c r="F291" s="49"/>
      <c r="G291" s="18"/>
      <c r="H291" s="220"/>
      <c r="I291" s="249">
        <v>3132</v>
      </c>
      <c r="J291" s="21">
        <v>45000</v>
      </c>
      <c r="K291" s="49"/>
      <c r="L291" s="49"/>
      <c r="M291" s="49"/>
      <c r="N291" s="49"/>
      <c r="O291" s="49"/>
      <c r="P291" s="49"/>
      <c r="Q291" s="49"/>
      <c r="R291" s="49"/>
      <c r="S291" s="49">
        <v>45000</v>
      </c>
      <c r="T291" s="49"/>
      <c r="U291" s="49"/>
      <c r="V291" s="49"/>
      <c r="W291" s="49"/>
      <c r="X291" s="40">
        <f t="shared" si="19"/>
        <v>45000</v>
      </c>
    </row>
    <row r="292" spans="2:24" ht="31.5">
      <c r="B292" s="289"/>
      <c r="C292" s="289"/>
      <c r="D292" s="300"/>
      <c r="E292" s="31" t="s">
        <v>961</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9"/>
        <v>25.60000000000582</v>
      </c>
    </row>
    <row r="293" spans="2:24" ht="31.5">
      <c r="B293" s="289"/>
      <c r="C293" s="289"/>
      <c r="D293" s="300"/>
      <c r="E293" s="31" t="s">
        <v>487</v>
      </c>
      <c r="F293" s="49"/>
      <c r="G293" s="18"/>
      <c r="H293" s="220"/>
      <c r="I293" s="249">
        <v>3132</v>
      </c>
      <c r="J293" s="21">
        <v>80000</v>
      </c>
      <c r="K293" s="49"/>
      <c r="L293" s="49"/>
      <c r="M293" s="49"/>
      <c r="N293" s="49"/>
      <c r="O293" s="49"/>
      <c r="P293" s="49"/>
      <c r="Q293" s="49"/>
      <c r="R293" s="49"/>
      <c r="S293" s="49"/>
      <c r="T293" s="49"/>
      <c r="U293" s="49">
        <v>80000</v>
      </c>
      <c r="V293" s="49"/>
      <c r="W293" s="49"/>
      <c r="X293" s="40">
        <f t="shared" si="19"/>
        <v>80000</v>
      </c>
    </row>
    <row r="294" spans="2:24" ht="31.5">
      <c r="B294" s="293"/>
      <c r="C294" s="293"/>
      <c r="D294" s="301"/>
      <c r="E294" s="31" t="s">
        <v>140</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9"/>
        <v>0</v>
      </c>
    </row>
    <row r="295" spans="2:24" ht="15.75" customHeight="1">
      <c r="B295" s="288" t="s">
        <v>746</v>
      </c>
      <c r="C295" s="288" t="s">
        <v>518</v>
      </c>
      <c r="D295" s="299" t="s">
        <v>517</v>
      </c>
      <c r="E295" s="31"/>
      <c r="F295" s="49"/>
      <c r="G295" s="18"/>
      <c r="H295" s="220"/>
      <c r="I295" s="249"/>
      <c r="J295" s="209">
        <f>SUM(J296:J297)</f>
        <v>150000</v>
      </c>
      <c r="K295" s="209">
        <f aca="true" t="shared" si="20" ref="K295:W295">SUM(K296:K297)</f>
        <v>0</v>
      </c>
      <c r="L295" s="209">
        <f t="shared" si="20"/>
        <v>0</v>
      </c>
      <c r="M295" s="209">
        <f t="shared" si="20"/>
        <v>0</v>
      </c>
      <c r="N295" s="209">
        <f t="shared" si="20"/>
        <v>0</v>
      </c>
      <c r="O295" s="209">
        <f t="shared" si="20"/>
        <v>0</v>
      </c>
      <c r="P295" s="209">
        <f t="shared" si="20"/>
        <v>35000</v>
      </c>
      <c r="Q295" s="209">
        <f t="shared" si="20"/>
        <v>45000</v>
      </c>
      <c r="R295" s="209">
        <f t="shared" si="20"/>
        <v>70000</v>
      </c>
      <c r="S295" s="209">
        <f t="shared" si="20"/>
        <v>0</v>
      </c>
      <c r="T295" s="209">
        <f t="shared" si="20"/>
        <v>0</v>
      </c>
      <c r="U295" s="209">
        <f t="shared" si="20"/>
        <v>0</v>
      </c>
      <c r="V295" s="209">
        <f t="shared" si="20"/>
        <v>0</v>
      </c>
      <c r="W295" s="209">
        <f t="shared" si="20"/>
        <v>80000</v>
      </c>
      <c r="X295" s="184">
        <f t="shared" si="19"/>
        <v>70000</v>
      </c>
    </row>
    <row r="296" spans="2:24" ht="31.5">
      <c r="B296" s="289"/>
      <c r="C296" s="289"/>
      <c r="D296" s="300"/>
      <c r="E296" s="72" t="s">
        <v>789</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c r="X296" s="40">
        <f t="shared" si="19"/>
        <v>70000</v>
      </c>
    </row>
    <row r="297" spans="2:24" ht="15.75">
      <c r="B297" s="293"/>
      <c r="C297" s="293"/>
      <c r="D297" s="301"/>
      <c r="E297" s="72" t="s">
        <v>54</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9"/>
        <v>0</v>
      </c>
    </row>
    <row r="298" spans="2:24" ht="15.75">
      <c r="B298" s="288" t="s">
        <v>520</v>
      </c>
      <c r="C298" s="288" t="s">
        <v>519</v>
      </c>
      <c r="D298" s="299" t="s">
        <v>211</v>
      </c>
      <c r="E298" s="47"/>
      <c r="F298" s="45"/>
      <c r="G298" s="46"/>
      <c r="H298" s="216"/>
      <c r="I298" s="249"/>
      <c r="J298" s="210">
        <f>SUM(J299:J301)</f>
        <v>415500</v>
      </c>
      <c r="K298" s="210">
        <f aca="true" t="shared" si="21" ref="K298:W298">SUM(K299:K301)</f>
        <v>0</v>
      </c>
      <c r="L298" s="210">
        <f t="shared" si="21"/>
        <v>0</v>
      </c>
      <c r="M298" s="210">
        <f t="shared" si="21"/>
        <v>0</v>
      </c>
      <c r="N298" s="210">
        <f t="shared" si="21"/>
        <v>0</v>
      </c>
      <c r="O298" s="210">
        <f t="shared" si="21"/>
        <v>110000</v>
      </c>
      <c r="P298" s="210">
        <f t="shared" si="21"/>
        <v>-4500</v>
      </c>
      <c r="Q298" s="210">
        <f t="shared" si="21"/>
        <v>190000</v>
      </c>
      <c r="R298" s="210">
        <f t="shared" si="21"/>
        <v>70000</v>
      </c>
      <c r="S298" s="210">
        <f t="shared" si="21"/>
        <v>0</v>
      </c>
      <c r="T298" s="210">
        <f t="shared" si="21"/>
        <v>0</v>
      </c>
      <c r="U298" s="210">
        <f t="shared" si="21"/>
        <v>0</v>
      </c>
      <c r="V298" s="210">
        <f t="shared" si="21"/>
        <v>50000</v>
      </c>
      <c r="W298" s="210">
        <f t="shared" si="21"/>
        <v>280680</v>
      </c>
      <c r="X298" s="184">
        <f t="shared" si="19"/>
        <v>84820</v>
      </c>
    </row>
    <row r="299" spans="2:24" ht="47.25">
      <c r="B299" s="289"/>
      <c r="C299" s="289"/>
      <c r="D299" s="300"/>
      <c r="E299" s="31" t="s">
        <v>790</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9"/>
        <v>35000</v>
      </c>
    </row>
    <row r="300" spans="2:24" ht="47.25">
      <c r="B300" s="289"/>
      <c r="C300" s="289"/>
      <c r="D300" s="300"/>
      <c r="E300" s="31" t="s">
        <v>131</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9"/>
        <v>46900</v>
      </c>
    </row>
    <row r="301" spans="2:24" ht="63">
      <c r="B301" s="293"/>
      <c r="C301" s="293"/>
      <c r="D301" s="301"/>
      <c r="E301" s="31" t="s">
        <v>132</v>
      </c>
      <c r="F301" s="49"/>
      <c r="G301" s="18"/>
      <c r="H301" s="220"/>
      <c r="I301" s="249">
        <v>3110</v>
      </c>
      <c r="J301" s="21">
        <v>45500</v>
      </c>
      <c r="K301" s="49"/>
      <c r="L301" s="49"/>
      <c r="M301" s="49"/>
      <c r="N301" s="49"/>
      <c r="O301" s="49"/>
      <c r="P301" s="49">
        <v>45500</v>
      </c>
      <c r="Q301" s="49"/>
      <c r="R301" s="49"/>
      <c r="S301" s="49"/>
      <c r="T301" s="49"/>
      <c r="U301" s="49"/>
      <c r="V301" s="49"/>
      <c r="W301" s="49">
        <f>13900+8190+20490</f>
        <v>42580</v>
      </c>
      <c r="X301" s="40">
        <f t="shared" si="19"/>
        <v>2920</v>
      </c>
    </row>
    <row r="302" spans="2:24" ht="15.75">
      <c r="B302" s="290" t="s">
        <v>521</v>
      </c>
      <c r="C302" s="290" t="s">
        <v>524</v>
      </c>
      <c r="D302" s="299" t="s">
        <v>747</v>
      </c>
      <c r="E302" s="70"/>
      <c r="F302" s="45"/>
      <c r="G302" s="46"/>
      <c r="H302" s="216"/>
      <c r="I302" s="249"/>
      <c r="J302" s="185">
        <f>SUM(J303:J310)</f>
        <v>508916.26</v>
      </c>
      <c r="K302" s="185">
        <f aca="true" t="shared" si="22" ref="K302:W302">SUM(K303:K310)</f>
        <v>0</v>
      </c>
      <c r="L302" s="185">
        <f t="shared" si="22"/>
        <v>97516.26</v>
      </c>
      <c r="M302" s="185">
        <f t="shared" si="22"/>
        <v>0</v>
      </c>
      <c r="N302" s="185">
        <f t="shared" si="22"/>
        <v>0</v>
      </c>
      <c r="O302" s="185">
        <f t="shared" si="22"/>
        <v>10000</v>
      </c>
      <c r="P302" s="185">
        <f t="shared" si="22"/>
        <v>0</v>
      </c>
      <c r="Q302" s="185">
        <f t="shared" si="22"/>
        <v>55000</v>
      </c>
      <c r="R302" s="185">
        <f t="shared" si="22"/>
        <v>61400</v>
      </c>
      <c r="S302" s="185">
        <f t="shared" si="22"/>
        <v>130000</v>
      </c>
      <c r="T302" s="185">
        <f t="shared" si="22"/>
        <v>0</v>
      </c>
      <c r="U302" s="185">
        <f t="shared" si="22"/>
        <v>135000</v>
      </c>
      <c r="V302" s="185">
        <f t="shared" si="22"/>
        <v>20000</v>
      </c>
      <c r="W302" s="185">
        <f t="shared" si="22"/>
        <v>369535.26</v>
      </c>
      <c r="X302" s="184">
        <f t="shared" si="19"/>
        <v>119381</v>
      </c>
    </row>
    <row r="303" spans="2:24" ht="63">
      <c r="B303" s="291"/>
      <c r="C303" s="291"/>
      <c r="D303" s="300"/>
      <c r="E303" s="47" t="s">
        <v>420</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9"/>
        <v>0</v>
      </c>
    </row>
    <row r="304" spans="2:24" ht="78.75">
      <c r="B304" s="291"/>
      <c r="C304" s="291"/>
      <c r="D304" s="300"/>
      <c r="E304" s="47" t="s">
        <v>261</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9"/>
        <v>0</v>
      </c>
    </row>
    <row r="305" spans="2:24" ht="63">
      <c r="B305" s="291"/>
      <c r="C305" s="291"/>
      <c r="D305" s="300"/>
      <c r="E305" s="47" t="s">
        <v>262</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9"/>
        <v>0</v>
      </c>
    </row>
    <row r="306" spans="2:24" ht="63">
      <c r="B306" s="291"/>
      <c r="C306" s="291"/>
      <c r="D306" s="300"/>
      <c r="E306" s="47" t="s">
        <v>242</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9"/>
        <v>0</v>
      </c>
    </row>
    <row r="307" spans="2:24" ht="47.25">
      <c r="B307" s="291"/>
      <c r="C307" s="291"/>
      <c r="D307" s="300"/>
      <c r="E307" s="47" t="s">
        <v>188</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9"/>
        <v>7981</v>
      </c>
    </row>
    <row r="308" spans="2:24" ht="47.25">
      <c r="B308" s="291"/>
      <c r="C308" s="291"/>
      <c r="D308" s="300"/>
      <c r="E308" s="47" t="s">
        <v>958</v>
      </c>
      <c r="F308" s="45"/>
      <c r="G308" s="46"/>
      <c r="H308" s="216"/>
      <c r="I308" s="249">
        <v>3132</v>
      </c>
      <c r="J308" s="9">
        <f>100000-30000</f>
        <v>70000</v>
      </c>
      <c r="K308" s="49"/>
      <c r="L308" s="49"/>
      <c r="M308" s="49"/>
      <c r="N308" s="49"/>
      <c r="O308" s="49"/>
      <c r="P308" s="49"/>
      <c r="Q308" s="49"/>
      <c r="R308" s="49"/>
      <c r="S308" s="49">
        <v>100000</v>
      </c>
      <c r="T308" s="49"/>
      <c r="U308" s="49">
        <v>-30000</v>
      </c>
      <c r="V308" s="49"/>
      <c r="W308" s="49"/>
      <c r="X308" s="40">
        <f t="shared" si="19"/>
        <v>70000</v>
      </c>
    </row>
    <row r="309" spans="2:24" ht="47.25">
      <c r="B309" s="291"/>
      <c r="C309" s="291"/>
      <c r="D309" s="300"/>
      <c r="E309" s="47" t="s">
        <v>294</v>
      </c>
      <c r="F309" s="45"/>
      <c r="G309" s="46"/>
      <c r="H309" s="216"/>
      <c r="I309" s="249">
        <v>3132</v>
      </c>
      <c r="J309" s="9">
        <v>30000</v>
      </c>
      <c r="K309" s="49"/>
      <c r="L309" s="49"/>
      <c r="M309" s="49"/>
      <c r="N309" s="49"/>
      <c r="O309" s="49"/>
      <c r="P309" s="49"/>
      <c r="Q309" s="49"/>
      <c r="R309" s="49"/>
      <c r="S309" s="49"/>
      <c r="T309" s="49"/>
      <c r="U309" s="49">
        <v>30000</v>
      </c>
      <c r="V309" s="49"/>
      <c r="W309" s="49"/>
      <c r="X309" s="40">
        <f t="shared" si="19"/>
        <v>30000</v>
      </c>
    </row>
    <row r="310" spans="2:24" ht="47.25">
      <c r="B310" s="292"/>
      <c r="C310" s="292"/>
      <c r="D310" s="301"/>
      <c r="E310" s="47" t="s">
        <v>187</v>
      </c>
      <c r="F310" s="45"/>
      <c r="G310" s="46"/>
      <c r="H310" s="216"/>
      <c r="I310" s="249">
        <v>3110</v>
      </c>
      <c r="J310" s="9">
        <v>11400</v>
      </c>
      <c r="K310" s="49"/>
      <c r="L310" s="49"/>
      <c r="M310" s="49"/>
      <c r="N310" s="49"/>
      <c r="O310" s="49"/>
      <c r="P310" s="49"/>
      <c r="Q310" s="49"/>
      <c r="R310" s="49">
        <v>11400</v>
      </c>
      <c r="S310" s="49"/>
      <c r="T310" s="49"/>
      <c r="U310" s="49"/>
      <c r="V310" s="49"/>
      <c r="W310" s="49"/>
      <c r="X310" s="40">
        <f t="shared" si="19"/>
        <v>11400</v>
      </c>
    </row>
    <row r="311" spans="2:24" ht="15.75">
      <c r="B311" s="288" t="s">
        <v>522</v>
      </c>
      <c r="C311" s="288" t="s">
        <v>525</v>
      </c>
      <c r="D311" s="299" t="s">
        <v>125</v>
      </c>
      <c r="E311" s="78"/>
      <c r="F311" s="71"/>
      <c r="G311" s="79"/>
      <c r="H311" s="221"/>
      <c r="I311" s="249"/>
      <c r="J311" s="210">
        <f>SUM(J312:J315)</f>
        <v>608600</v>
      </c>
      <c r="K311" s="210">
        <f aca="true" t="shared" si="23" ref="K311:W311">SUM(K312:K315)</f>
        <v>0</v>
      </c>
      <c r="L311" s="210">
        <f t="shared" si="23"/>
        <v>0</v>
      </c>
      <c r="M311" s="210">
        <f t="shared" si="23"/>
        <v>0</v>
      </c>
      <c r="N311" s="210">
        <f t="shared" si="23"/>
        <v>0</v>
      </c>
      <c r="O311" s="210">
        <f t="shared" si="23"/>
        <v>278600</v>
      </c>
      <c r="P311" s="210">
        <f t="shared" si="23"/>
        <v>0</v>
      </c>
      <c r="Q311" s="210">
        <f t="shared" si="23"/>
        <v>340000</v>
      </c>
      <c r="R311" s="210">
        <f t="shared" si="23"/>
        <v>20000</v>
      </c>
      <c r="S311" s="210">
        <f t="shared" si="23"/>
        <v>115000</v>
      </c>
      <c r="T311" s="210">
        <f t="shared" si="23"/>
        <v>0</v>
      </c>
      <c r="U311" s="210">
        <f t="shared" si="23"/>
        <v>-200000</v>
      </c>
      <c r="V311" s="210">
        <f t="shared" si="23"/>
        <v>55000</v>
      </c>
      <c r="W311" s="210">
        <f t="shared" si="23"/>
        <v>465098.69999999995</v>
      </c>
      <c r="X311" s="184">
        <f t="shared" si="19"/>
        <v>88501.30000000005</v>
      </c>
    </row>
    <row r="312" spans="2:24" ht="47.25">
      <c r="B312" s="289"/>
      <c r="C312" s="289"/>
      <c r="D312" s="300"/>
      <c r="E312" s="31" t="s">
        <v>468</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f>
        <v>17049.4</v>
      </c>
      <c r="X312" s="40">
        <f t="shared" si="19"/>
        <v>32950.6</v>
      </c>
    </row>
    <row r="313" spans="2:24" ht="47.25">
      <c r="B313" s="289"/>
      <c r="C313" s="289"/>
      <c r="D313" s="300"/>
      <c r="E313" s="31" t="s">
        <v>469</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f>
        <v>195198.3</v>
      </c>
      <c r="X313" s="40">
        <f t="shared" si="19"/>
        <v>49801.70000000001</v>
      </c>
    </row>
    <row r="314" spans="2:24" ht="47.25">
      <c r="B314" s="289"/>
      <c r="C314" s="289"/>
      <c r="D314" s="300"/>
      <c r="E314" s="31" t="s">
        <v>50</v>
      </c>
      <c r="F314" s="49"/>
      <c r="G314" s="18"/>
      <c r="H314" s="220"/>
      <c r="I314" s="249">
        <v>3110</v>
      </c>
      <c r="J314" s="21">
        <v>5700</v>
      </c>
      <c r="K314" s="49"/>
      <c r="L314" s="49"/>
      <c r="M314" s="49"/>
      <c r="N314" s="49"/>
      <c r="O314" s="49">
        <v>5700</v>
      </c>
      <c r="P314" s="49"/>
      <c r="Q314" s="49"/>
      <c r="R314" s="49"/>
      <c r="S314" s="49"/>
      <c r="T314" s="49"/>
      <c r="U314" s="49"/>
      <c r="V314" s="49"/>
      <c r="W314" s="49"/>
      <c r="X314" s="40">
        <f t="shared" si="19"/>
        <v>5700</v>
      </c>
    </row>
    <row r="315" spans="2:24" ht="47.25">
      <c r="B315" s="293"/>
      <c r="C315" s="293"/>
      <c r="D315" s="301"/>
      <c r="E315" s="31" t="s">
        <v>51</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9"/>
        <v>49</v>
      </c>
    </row>
    <row r="316" spans="2:24" ht="15.75">
      <c r="B316" s="290" t="s">
        <v>523</v>
      </c>
      <c r="C316" s="290" t="s">
        <v>367</v>
      </c>
      <c r="D316" s="299" t="s">
        <v>366</v>
      </c>
      <c r="E316" s="70"/>
      <c r="F316" s="45"/>
      <c r="G316" s="46"/>
      <c r="H316" s="216"/>
      <c r="I316" s="249"/>
      <c r="J316" s="185">
        <f>SUM(J317:J339)</f>
        <v>2417795.76</v>
      </c>
      <c r="K316" s="185">
        <f aca="true" t="shared" si="24" ref="K316:W316">SUM(K317:K339)</f>
        <v>0</v>
      </c>
      <c r="L316" s="185">
        <f t="shared" si="24"/>
        <v>137358.11</v>
      </c>
      <c r="M316" s="185">
        <f t="shared" si="24"/>
        <v>0</v>
      </c>
      <c r="N316" s="185">
        <f t="shared" si="24"/>
        <v>7700</v>
      </c>
      <c r="O316" s="185">
        <f t="shared" si="24"/>
        <v>120000</v>
      </c>
      <c r="P316" s="185">
        <f t="shared" si="24"/>
        <v>-10000</v>
      </c>
      <c r="Q316" s="185">
        <f t="shared" si="24"/>
        <v>590000</v>
      </c>
      <c r="R316" s="185">
        <f t="shared" si="24"/>
        <v>597900</v>
      </c>
      <c r="S316" s="185">
        <f t="shared" si="24"/>
        <v>797000</v>
      </c>
      <c r="T316" s="185">
        <f t="shared" si="24"/>
        <v>20000</v>
      </c>
      <c r="U316" s="185">
        <f t="shared" si="24"/>
        <v>-62162.350000000006</v>
      </c>
      <c r="V316" s="185">
        <f t="shared" si="24"/>
        <v>220000</v>
      </c>
      <c r="W316" s="185">
        <f t="shared" si="24"/>
        <v>1279607.85</v>
      </c>
      <c r="X316" s="184">
        <f t="shared" si="19"/>
        <v>918187.9099999997</v>
      </c>
    </row>
    <row r="317" spans="2:24" ht="94.5">
      <c r="B317" s="291"/>
      <c r="C317" s="291"/>
      <c r="D317" s="300"/>
      <c r="E317" s="267" t="s">
        <v>777</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9"/>
        <v>0</v>
      </c>
    </row>
    <row r="318" spans="2:24" ht="63">
      <c r="B318" s="291"/>
      <c r="C318" s="291"/>
      <c r="D318" s="300"/>
      <c r="E318" s="267" t="s">
        <v>411</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9"/>
        <v>0</v>
      </c>
    </row>
    <row r="319" spans="2:24" ht="63">
      <c r="B319" s="291"/>
      <c r="C319" s="291"/>
      <c r="D319" s="300"/>
      <c r="E319" s="267" t="s">
        <v>412</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9"/>
        <v>0</v>
      </c>
    </row>
    <row r="320" spans="2:24" ht="63">
      <c r="B320" s="291"/>
      <c r="C320" s="291"/>
      <c r="D320" s="300"/>
      <c r="E320" s="267" t="s">
        <v>413</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9"/>
        <v>0</v>
      </c>
    </row>
    <row r="321" spans="2:24" ht="63">
      <c r="B321" s="291"/>
      <c r="C321" s="291"/>
      <c r="D321" s="300"/>
      <c r="E321" s="267" t="s">
        <v>414</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9"/>
        <v>0</v>
      </c>
    </row>
    <row r="322" spans="2:24" ht="47.25">
      <c r="B322" s="291"/>
      <c r="C322" s="291"/>
      <c r="D322" s="300"/>
      <c r="E322" s="267" t="s">
        <v>526</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9"/>
        <v>0</v>
      </c>
    </row>
    <row r="323" spans="2:24" ht="63">
      <c r="B323" s="291"/>
      <c r="C323" s="291"/>
      <c r="D323" s="300"/>
      <c r="E323" s="267" t="s">
        <v>527</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9"/>
        <v>0</v>
      </c>
    </row>
    <row r="324" spans="2:24" ht="63">
      <c r="B324" s="291"/>
      <c r="C324" s="291"/>
      <c r="D324" s="300"/>
      <c r="E324" s="267" t="s">
        <v>585</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9"/>
        <v>0</v>
      </c>
    </row>
    <row r="325" spans="2:24" ht="78.75">
      <c r="B325" s="291"/>
      <c r="C325" s="291"/>
      <c r="D325" s="300"/>
      <c r="E325" s="48" t="s">
        <v>935</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9"/>
        <v>0</v>
      </c>
    </row>
    <row r="326" spans="2:24" ht="47.25">
      <c r="B326" s="291"/>
      <c r="C326" s="291"/>
      <c r="D326" s="300"/>
      <c r="E326" s="48" t="s">
        <v>422</v>
      </c>
      <c r="F326" s="45"/>
      <c r="G326" s="46"/>
      <c r="H326" s="216"/>
      <c r="I326" s="249">
        <v>3110</v>
      </c>
      <c r="J326" s="9">
        <v>20000</v>
      </c>
      <c r="K326" s="49"/>
      <c r="L326" s="49"/>
      <c r="M326" s="49"/>
      <c r="N326" s="49"/>
      <c r="O326" s="49"/>
      <c r="P326" s="49"/>
      <c r="Q326" s="49"/>
      <c r="R326" s="49"/>
      <c r="S326" s="49"/>
      <c r="T326" s="49">
        <v>20000</v>
      </c>
      <c r="U326" s="49"/>
      <c r="V326" s="49"/>
      <c r="W326" s="49"/>
      <c r="X326" s="40">
        <f t="shared" si="19"/>
        <v>20000</v>
      </c>
    </row>
    <row r="327" spans="2:24" ht="63">
      <c r="B327" s="291"/>
      <c r="C327" s="291"/>
      <c r="D327" s="300"/>
      <c r="E327" s="48" t="s">
        <v>225</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9"/>
        <v>2500</v>
      </c>
    </row>
    <row r="328" spans="2:24" ht="47.25">
      <c r="B328" s="291"/>
      <c r="C328" s="291"/>
      <c r="D328" s="300"/>
      <c r="E328" s="48" t="s">
        <v>226</v>
      </c>
      <c r="F328" s="45"/>
      <c r="G328" s="46"/>
      <c r="H328" s="216"/>
      <c r="I328" s="249">
        <v>3132</v>
      </c>
      <c r="J328" s="9">
        <v>40000</v>
      </c>
      <c r="K328" s="49"/>
      <c r="L328" s="49"/>
      <c r="M328" s="49"/>
      <c r="N328" s="49"/>
      <c r="O328" s="49">
        <v>40000</v>
      </c>
      <c r="P328" s="49"/>
      <c r="Q328" s="49"/>
      <c r="R328" s="49"/>
      <c r="S328" s="49"/>
      <c r="T328" s="49"/>
      <c r="U328" s="49"/>
      <c r="V328" s="49"/>
      <c r="W328" s="49">
        <f>396+29055.6</f>
        <v>29451.6</v>
      </c>
      <c r="X328" s="40">
        <f t="shared" si="19"/>
        <v>10548.400000000001</v>
      </c>
    </row>
    <row r="329" spans="2:24" ht="47.25">
      <c r="B329" s="291"/>
      <c r="C329" s="291"/>
      <c r="D329" s="300"/>
      <c r="E329" s="67" t="s">
        <v>227</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9"/>
        <v>189837.65000000002</v>
      </c>
    </row>
    <row r="330" spans="2:24" ht="47.25">
      <c r="B330" s="291"/>
      <c r="C330" s="291"/>
      <c r="D330" s="300"/>
      <c r="E330" s="31" t="s">
        <v>443</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9"/>
        <v>63863.30000000005</v>
      </c>
    </row>
    <row r="331" spans="2:24" ht="78.75" hidden="1">
      <c r="B331" s="291"/>
      <c r="C331" s="291"/>
      <c r="D331" s="300"/>
      <c r="E331" s="31" t="s">
        <v>181</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9"/>
        <v>0</v>
      </c>
    </row>
    <row r="332" spans="2:24" ht="31.5" hidden="1">
      <c r="B332" s="291"/>
      <c r="C332" s="291"/>
      <c r="D332" s="300"/>
      <c r="E332" s="31" t="s">
        <v>182</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9"/>
        <v>0</v>
      </c>
    </row>
    <row r="333" spans="2:24" ht="31.5">
      <c r="B333" s="291"/>
      <c r="C333" s="291"/>
      <c r="D333" s="300"/>
      <c r="E333" s="31" t="s">
        <v>183</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f>
        <v>108497.15</v>
      </c>
      <c r="X333" s="40">
        <f t="shared" si="19"/>
        <v>41502.850000000006</v>
      </c>
    </row>
    <row r="334" spans="2:24" ht="31.5">
      <c r="B334" s="291"/>
      <c r="C334" s="291"/>
      <c r="D334" s="300"/>
      <c r="E334" s="31" t="s">
        <v>184</v>
      </c>
      <c r="F334" s="49"/>
      <c r="G334" s="18"/>
      <c r="H334" s="220"/>
      <c r="I334" s="249">
        <v>3110</v>
      </c>
      <c r="J334" s="21">
        <f>50000-2100</f>
        <v>47900</v>
      </c>
      <c r="K334" s="49"/>
      <c r="L334" s="49"/>
      <c r="M334" s="49"/>
      <c r="N334" s="49"/>
      <c r="O334" s="49"/>
      <c r="P334" s="49"/>
      <c r="Q334" s="49"/>
      <c r="R334" s="49">
        <v>50000</v>
      </c>
      <c r="S334" s="49"/>
      <c r="T334" s="49"/>
      <c r="U334" s="49">
        <v>-2100</v>
      </c>
      <c r="V334" s="49"/>
      <c r="W334" s="49"/>
      <c r="X334" s="40">
        <f t="shared" si="19"/>
        <v>47900</v>
      </c>
    </row>
    <row r="335" spans="2:24" ht="31.5">
      <c r="B335" s="291"/>
      <c r="C335" s="291"/>
      <c r="D335" s="300"/>
      <c r="E335" s="31" t="s">
        <v>185</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9"/>
        <v>0</v>
      </c>
    </row>
    <row r="336" spans="2:24" ht="31.5" hidden="1">
      <c r="B336" s="291"/>
      <c r="C336" s="291"/>
      <c r="D336" s="300"/>
      <c r="E336" s="31" t="s">
        <v>459</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9"/>
        <v>0</v>
      </c>
    </row>
    <row r="337" spans="2:24" ht="31.5">
      <c r="B337" s="291"/>
      <c r="C337" s="291"/>
      <c r="D337" s="300"/>
      <c r="E337" s="31" t="s">
        <v>291</v>
      </c>
      <c r="F337" s="49"/>
      <c r="G337" s="18"/>
      <c r="H337" s="220"/>
      <c r="I337" s="249">
        <v>3110</v>
      </c>
      <c r="J337" s="21">
        <v>25000</v>
      </c>
      <c r="K337" s="49"/>
      <c r="L337" s="49"/>
      <c r="M337" s="49"/>
      <c r="N337" s="49"/>
      <c r="O337" s="49"/>
      <c r="P337" s="49"/>
      <c r="Q337" s="49"/>
      <c r="R337" s="49"/>
      <c r="S337" s="49"/>
      <c r="T337" s="49"/>
      <c r="U337" s="49">
        <v>25000</v>
      </c>
      <c r="V337" s="49"/>
      <c r="W337" s="49"/>
      <c r="X337" s="40">
        <f t="shared" si="19"/>
        <v>25000</v>
      </c>
    </row>
    <row r="338" spans="2:24" ht="31.5">
      <c r="B338" s="291"/>
      <c r="C338" s="291"/>
      <c r="D338" s="300"/>
      <c r="E338" s="31" t="s">
        <v>477</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f>
        <v>9093.95</v>
      </c>
      <c r="X338" s="40">
        <f t="shared" si="19"/>
        <v>477906.05</v>
      </c>
    </row>
    <row r="339" spans="2:24" ht="31.5">
      <c r="B339" s="292"/>
      <c r="C339" s="292"/>
      <c r="D339" s="301"/>
      <c r="E339" s="31" t="s">
        <v>953</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19"/>
        <v>39129.66000000002</v>
      </c>
    </row>
    <row r="340" spans="2:24" ht="15.75">
      <c r="B340" s="290" t="s">
        <v>200</v>
      </c>
      <c r="C340" s="290" t="s">
        <v>368</v>
      </c>
      <c r="D340" s="299" t="s">
        <v>836</v>
      </c>
      <c r="E340" s="70"/>
      <c r="F340" s="45"/>
      <c r="G340" s="46"/>
      <c r="H340" s="216"/>
      <c r="I340" s="249"/>
      <c r="J340" s="185">
        <f>SUM(J341:J341)</f>
        <v>4999.98</v>
      </c>
      <c r="K340" s="185">
        <f aca="true" t="shared" si="25" ref="K340:W340">SUM(K341:K341)</f>
        <v>0</v>
      </c>
      <c r="L340" s="185">
        <f t="shared" si="25"/>
        <v>4999.98</v>
      </c>
      <c r="M340" s="185">
        <f t="shared" si="25"/>
        <v>0</v>
      </c>
      <c r="N340" s="185">
        <f t="shared" si="25"/>
        <v>0</v>
      </c>
      <c r="O340" s="185">
        <f t="shared" si="25"/>
        <v>0</v>
      </c>
      <c r="P340" s="185">
        <f t="shared" si="25"/>
        <v>0</v>
      </c>
      <c r="Q340" s="185">
        <f t="shared" si="25"/>
        <v>0</v>
      </c>
      <c r="R340" s="185">
        <f t="shared" si="25"/>
        <v>0</v>
      </c>
      <c r="S340" s="185">
        <f t="shared" si="25"/>
        <v>0</v>
      </c>
      <c r="T340" s="185">
        <f t="shared" si="25"/>
        <v>0</v>
      </c>
      <c r="U340" s="185">
        <f t="shared" si="25"/>
        <v>0</v>
      </c>
      <c r="V340" s="185">
        <f t="shared" si="25"/>
        <v>0</v>
      </c>
      <c r="W340" s="185">
        <f t="shared" si="25"/>
        <v>4999.98</v>
      </c>
      <c r="X340" s="184">
        <f t="shared" si="19"/>
        <v>0</v>
      </c>
    </row>
    <row r="341" spans="2:24" ht="63">
      <c r="B341" s="292"/>
      <c r="C341" s="292"/>
      <c r="D341" s="301"/>
      <c r="E341" s="70" t="s">
        <v>586</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19"/>
        <v>0</v>
      </c>
    </row>
    <row r="342" spans="2:24" ht="15.75">
      <c r="B342" s="290" t="s">
        <v>369</v>
      </c>
      <c r="C342" s="290" t="s">
        <v>372</v>
      </c>
      <c r="D342" s="299" t="s">
        <v>373</v>
      </c>
      <c r="E342" s="70"/>
      <c r="F342" s="45"/>
      <c r="G342" s="46"/>
      <c r="H342" s="216"/>
      <c r="I342" s="249"/>
      <c r="J342" s="185">
        <f>SUM(J343:J358)</f>
        <v>1276203.76</v>
      </c>
      <c r="K342" s="185">
        <f aca="true" t="shared" si="26" ref="K342:W342">SUM(K343:K358)</f>
        <v>0</v>
      </c>
      <c r="L342" s="185">
        <f t="shared" si="26"/>
        <v>257023.76</v>
      </c>
      <c r="M342" s="185">
        <f t="shared" si="26"/>
        <v>0</v>
      </c>
      <c r="N342" s="185">
        <f t="shared" si="26"/>
        <v>0</v>
      </c>
      <c r="O342" s="185">
        <f t="shared" si="26"/>
        <v>203000</v>
      </c>
      <c r="P342" s="185">
        <f t="shared" si="26"/>
        <v>130000</v>
      </c>
      <c r="Q342" s="185">
        <f t="shared" si="26"/>
        <v>470000</v>
      </c>
      <c r="R342" s="185">
        <f t="shared" si="26"/>
        <v>357500</v>
      </c>
      <c r="S342" s="185">
        <f t="shared" si="26"/>
        <v>-71320</v>
      </c>
      <c r="T342" s="185">
        <f t="shared" si="26"/>
        <v>10000</v>
      </c>
      <c r="U342" s="185">
        <f t="shared" si="26"/>
        <v>-80000</v>
      </c>
      <c r="V342" s="185">
        <f t="shared" si="26"/>
        <v>0</v>
      </c>
      <c r="W342" s="185">
        <f t="shared" si="26"/>
        <v>969915.78</v>
      </c>
      <c r="X342" s="184">
        <f t="shared" si="19"/>
        <v>306287.98</v>
      </c>
    </row>
    <row r="343" spans="2:24" ht="63">
      <c r="B343" s="291"/>
      <c r="C343" s="291"/>
      <c r="D343" s="300"/>
      <c r="E343" s="267" t="s">
        <v>549</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19"/>
        <v>0</v>
      </c>
    </row>
    <row r="344" spans="2:24" ht="78.75">
      <c r="B344" s="291"/>
      <c r="C344" s="291"/>
      <c r="D344" s="300"/>
      <c r="E344" s="267" t="s">
        <v>584</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19"/>
        <v>0</v>
      </c>
    </row>
    <row r="345" spans="2:24" ht="78.75">
      <c r="B345" s="291"/>
      <c r="C345" s="291"/>
      <c r="D345" s="300"/>
      <c r="E345" s="48" t="s">
        <v>936</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19"/>
        <v>0</v>
      </c>
    </row>
    <row r="346" spans="2:24" ht="78.75">
      <c r="B346" s="291"/>
      <c r="C346" s="291"/>
      <c r="D346" s="300"/>
      <c r="E346" s="48" t="s">
        <v>437</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19"/>
        <v>0</v>
      </c>
    </row>
    <row r="347" spans="2:24" ht="47.25">
      <c r="B347" s="291"/>
      <c r="C347" s="291"/>
      <c r="D347" s="300"/>
      <c r="E347" s="67" t="s">
        <v>954</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19"/>
        <v>9985.799999999988</v>
      </c>
    </row>
    <row r="348" spans="2:24" ht="47.25">
      <c r="B348" s="291"/>
      <c r="C348" s="291"/>
      <c r="D348" s="300"/>
      <c r="E348" s="67" t="s">
        <v>814</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19"/>
        <v>1743.1800000000003</v>
      </c>
    </row>
    <row r="349" spans="2:24" ht="47.25">
      <c r="B349" s="291"/>
      <c r="C349" s="291"/>
      <c r="D349" s="300"/>
      <c r="E349" s="67" t="s">
        <v>392</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19"/>
        <v>25000</v>
      </c>
    </row>
    <row r="350" spans="2:24" ht="31.5">
      <c r="B350" s="291"/>
      <c r="C350" s="291"/>
      <c r="D350" s="300"/>
      <c r="E350" s="31" t="s">
        <v>97</v>
      </c>
      <c r="F350" s="49">
        <v>80000</v>
      </c>
      <c r="G350" s="18">
        <f aca="true" t="shared" si="27" ref="G350:G358">100%-((F350-H350)/F350)</f>
        <v>1</v>
      </c>
      <c r="H350" s="220">
        <f aca="true" t="shared" si="28"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19"/>
        <v>29188.730000000003</v>
      </c>
    </row>
    <row r="351" spans="2:24" ht="47.25">
      <c r="B351" s="291"/>
      <c r="C351" s="291"/>
      <c r="D351" s="300"/>
      <c r="E351" s="31" t="s">
        <v>104</v>
      </c>
      <c r="F351" s="49">
        <v>50000</v>
      </c>
      <c r="G351" s="18">
        <f t="shared" si="27"/>
        <v>1</v>
      </c>
      <c r="H351" s="220">
        <f t="shared" si="28"/>
        <v>50000</v>
      </c>
      <c r="I351" s="249">
        <v>3132</v>
      </c>
      <c r="J351" s="21">
        <v>50000</v>
      </c>
      <c r="K351" s="49"/>
      <c r="L351" s="49"/>
      <c r="M351" s="49"/>
      <c r="N351" s="49"/>
      <c r="O351" s="49">
        <v>10000</v>
      </c>
      <c r="P351" s="49"/>
      <c r="Q351" s="49">
        <v>20000</v>
      </c>
      <c r="R351" s="49">
        <v>20000</v>
      </c>
      <c r="S351" s="49"/>
      <c r="T351" s="49"/>
      <c r="U351" s="49"/>
      <c r="V351" s="49"/>
      <c r="W351" s="49">
        <f>1789.2+10034.43</f>
        <v>11823.630000000001</v>
      </c>
      <c r="X351" s="40">
        <f t="shared" si="19"/>
        <v>38176.369999999995</v>
      </c>
    </row>
    <row r="352" spans="2:24" ht="63">
      <c r="B352" s="291"/>
      <c r="C352" s="291"/>
      <c r="D352" s="300"/>
      <c r="E352" s="31" t="s">
        <v>21</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19"/>
        <v>15486.8</v>
      </c>
    </row>
    <row r="353" spans="2:24" ht="31.5" hidden="1">
      <c r="B353" s="291"/>
      <c r="C353" s="291"/>
      <c r="D353" s="300"/>
      <c r="E353" s="31" t="s">
        <v>22</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19"/>
        <v>0</v>
      </c>
    </row>
    <row r="354" spans="2:24" ht="31.5">
      <c r="B354" s="291"/>
      <c r="C354" s="291"/>
      <c r="D354" s="300"/>
      <c r="E354" s="31" t="s">
        <v>14</v>
      </c>
      <c r="F354" s="49">
        <v>80000</v>
      </c>
      <c r="G354" s="18">
        <f t="shared" si="27"/>
        <v>1</v>
      </c>
      <c r="H354" s="220">
        <f t="shared" si="28"/>
        <v>80000</v>
      </c>
      <c r="I354" s="249">
        <v>3132</v>
      </c>
      <c r="J354" s="21">
        <v>80000</v>
      </c>
      <c r="K354" s="49"/>
      <c r="L354" s="49"/>
      <c r="M354" s="49"/>
      <c r="N354" s="49"/>
      <c r="O354" s="49">
        <v>10000</v>
      </c>
      <c r="P354" s="49"/>
      <c r="Q354" s="49">
        <v>40000</v>
      </c>
      <c r="R354" s="49">
        <v>30000</v>
      </c>
      <c r="S354" s="49"/>
      <c r="T354" s="49"/>
      <c r="U354" s="49"/>
      <c r="V354" s="49"/>
      <c r="W354" s="49">
        <f>2511.27+5859.63</f>
        <v>8370.9</v>
      </c>
      <c r="X354" s="40">
        <f aca="true" t="shared" si="29" ref="X354:X420">K354+L354+M354+N354+O354+P354+Q354+R354+S354+T354+U354-W354</f>
        <v>71629.1</v>
      </c>
    </row>
    <row r="355" spans="2:24" ht="31.5">
      <c r="B355" s="291"/>
      <c r="C355" s="291"/>
      <c r="D355" s="300"/>
      <c r="E355" s="31" t="s">
        <v>15</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9"/>
        <v>18542</v>
      </c>
    </row>
    <row r="356" spans="2:24" ht="47.25">
      <c r="B356" s="291"/>
      <c r="C356" s="291"/>
      <c r="D356" s="300"/>
      <c r="E356" s="31" t="s">
        <v>732</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9"/>
        <v>25000</v>
      </c>
    </row>
    <row r="357" spans="2:24" ht="31.5">
      <c r="B357" s="291"/>
      <c r="C357" s="291"/>
      <c r="D357" s="300"/>
      <c r="E357" s="31" t="s">
        <v>459</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9"/>
        <v>27500</v>
      </c>
    </row>
    <row r="358" spans="2:24" ht="47.25">
      <c r="B358" s="291"/>
      <c r="C358" s="291"/>
      <c r="D358" s="300"/>
      <c r="E358" s="31" t="s">
        <v>733</v>
      </c>
      <c r="F358" s="49">
        <v>50000</v>
      </c>
      <c r="G358" s="18">
        <f t="shared" si="27"/>
        <v>1</v>
      </c>
      <c r="H358" s="220">
        <f t="shared" si="28"/>
        <v>50000</v>
      </c>
      <c r="I358" s="249">
        <v>3132</v>
      </c>
      <c r="J358" s="21">
        <v>50000</v>
      </c>
      <c r="K358" s="49"/>
      <c r="L358" s="49"/>
      <c r="M358" s="49"/>
      <c r="N358" s="49"/>
      <c r="O358" s="49">
        <v>10000</v>
      </c>
      <c r="P358" s="49"/>
      <c r="Q358" s="49">
        <v>20000</v>
      </c>
      <c r="R358" s="49">
        <v>20000</v>
      </c>
      <c r="S358" s="49"/>
      <c r="T358" s="49"/>
      <c r="U358" s="49"/>
      <c r="V358" s="49"/>
      <c r="W358" s="49">
        <f>1789.2+4174.8</f>
        <v>5964</v>
      </c>
      <c r="X358" s="40">
        <f t="shared" si="29"/>
        <v>44036</v>
      </c>
    </row>
    <row r="359" spans="2:24" ht="15.75">
      <c r="B359" s="290" t="s">
        <v>371</v>
      </c>
      <c r="C359" s="290" t="s">
        <v>372</v>
      </c>
      <c r="D359" s="299" t="s">
        <v>375</v>
      </c>
      <c r="E359" s="70"/>
      <c r="F359" s="45"/>
      <c r="G359" s="46"/>
      <c r="H359" s="216"/>
      <c r="I359" s="249"/>
      <c r="J359" s="185">
        <f>J360+J361</f>
        <v>28699.98</v>
      </c>
      <c r="K359" s="185">
        <f aca="true" t="shared" si="30" ref="K359:W359">K360+K361</f>
        <v>0</v>
      </c>
      <c r="L359" s="185">
        <f t="shared" si="30"/>
        <v>22699.98</v>
      </c>
      <c r="M359" s="185">
        <f t="shared" si="30"/>
        <v>0</v>
      </c>
      <c r="N359" s="185">
        <f t="shared" si="30"/>
        <v>0</v>
      </c>
      <c r="O359" s="185">
        <f t="shared" si="30"/>
        <v>0</v>
      </c>
      <c r="P359" s="185">
        <f t="shared" si="30"/>
        <v>6000</v>
      </c>
      <c r="Q359" s="185">
        <f t="shared" si="30"/>
        <v>0</v>
      </c>
      <c r="R359" s="185">
        <f t="shared" si="30"/>
        <v>0</v>
      </c>
      <c r="S359" s="185">
        <f t="shared" si="30"/>
        <v>0</v>
      </c>
      <c r="T359" s="185">
        <f t="shared" si="30"/>
        <v>0</v>
      </c>
      <c r="U359" s="185">
        <f t="shared" si="30"/>
        <v>0</v>
      </c>
      <c r="V359" s="185">
        <f t="shared" si="30"/>
        <v>0</v>
      </c>
      <c r="W359" s="185">
        <f t="shared" si="30"/>
        <v>28699.98</v>
      </c>
      <c r="X359" s="184">
        <f t="shared" si="29"/>
        <v>0</v>
      </c>
    </row>
    <row r="360" spans="2:24" ht="63">
      <c r="B360" s="291"/>
      <c r="C360" s="291"/>
      <c r="D360" s="300"/>
      <c r="E360" s="70" t="s">
        <v>586</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9"/>
        <v>0</v>
      </c>
    </row>
    <row r="361" spans="2:24" ht="31.5">
      <c r="B361" s="292"/>
      <c r="C361" s="292"/>
      <c r="D361" s="301"/>
      <c r="E361" s="80" t="s">
        <v>501</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9"/>
        <v>0</v>
      </c>
    </row>
    <row r="362" spans="2:24" ht="15.75">
      <c r="B362" s="290" t="s">
        <v>73</v>
      </c>
      <c r="C362" s="290" t="s">
        <v>74</v>
      </c>
      <c r="D362" s="299" t="s">
        <v>376</v>
      </c>
      <c r="E362" s="70"/>
      <c r="F362" s="45"/>
      <c r="G362" s="46"/>
      <c r="H362" s="216"/>
      <c r="I362" s="249"/>
      <c r="J362" s="185">
        <f>SUM(J363:J367)</f>
        <v>694346.1</v>
      </c>
      <c r="K362" s="185">
        <f aca="true" t="shared" si="31" ref="K362:W362">SUM(K363:K367)</f>
        <v>0</v>
      </c>
      <c r="L362" s="185">
        <f t="shared" si="31"/>
        <v>131346.1</v>
      </c>
      <c r="M362" s="185">
        <f t="shared" si="31"/>
        <v>0</v>
      </c>
      <c r="N362" s="185">
        <f t="shared" si="31"/>
        <v>0</v>
      </c>
      <c r="O362" s="185">
        <f t="shared" si="31"/>
        <v>92000</v>
      </c>
      <c r="P362" s="185">
        <f t="shared" si="31"/>
        <v>0</v>
      </c>
      <c r="Q362" s="185">
        <f t="shared" si="31"/>
        <v>45000</v>
      </c>
      <c r="R362" s="185">
        <f t="shared" si="31"/>
        <v>30000</v>
      </c>
      <c r="S362" s="185">
        <f t="shared" si="31"/>
        <v>396000</v>
      </c>
      <c r="T362" s="185">
        <f t="shared" si="31"/>
        <v>0</v>
      </c>
      <c r="U362" s="185">
        <f t="shared" si="31"/>
        <v>0</v>
      </c>
      <c r="V362" s="185">
        <f t="shared" si="31"/>
        <v>0</v>
      </c>
      <c r="W362" s="185">
        <f t="shared" si="31"/>
        <v>131346.1</v>
      </c>
      <c r="X362" s="184">
        <f t="shared" si="29"/>
        <v>563000</v>
      </c>
    </row>
    <row r="363" spans="2:24" ht="78.75">
      <c r="B363" s="291"/>
      <c r="C363" s="291"/>
      <c r="D363" s="300"/>
      <c r="E363" s="47" t="s">
        <v>662</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9"/>
        <v>0</v>
      </c>
    </row>
    <row r="364" spans="2:24" ht="31.5">
      <c r="B364" s="291"/>
      <c r="C364" s="291"/>
      <c r="D364" s="300"/>
      <c r="E364" s="29" t="s">
        <v>663</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9"/>
        <v>0</v>
      </c>
    </row>
    <row r="365" spans="2:24" ht="63">
      <c r="B365" s="291"/>
      <c r="C365" s="291"/>
      <c r="D365" s="300"/>
      <c r="E365" s="81" t="s">
        <v>599</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9"/>
        <v>57000</v>
      </c>
    </row>
    <row r="366" spans="2:24" ht="47.25">
      <c r="B366" s="291"/>
      <c r="C366" s="291"/>
      <c r="D366" s="300"/>
      <c r="E366" s="279" t="s">
        <v>962</v>
      </c>
      <c r="F366" s="280"/>
      <c r="G366" s="18"/>
      <c r="H366" s="281"/>
      <c r="I366" s="249">
        <v>3142</v>
      </c>
      <c r="J366" s="66">
        <v>396000</v>
      </c>
      <c r="K366" s="49"/>
      <c r="L366" s="49"/>
      <c r="M366" s="49"/>
      <c r="N366" s="49"/>
      <c r="O366" s="49"/>
      <c r="P366" s="49"/>
      <c r="Q366" s="49"/>
      <c r="R366" s="49"/>
      <c r="S366" s="49">
        <v>396000</v>
      </c>
      <c r="T366" s="49"/>
      <c r="U366" s="49"/>
      <c r="V366" s="49"/>
      <c r="W366" s="49"/>
      <c r="X366" s="40">
        <f t="shared" si="29"/>
        <v>396000</v>
      </c>
    </row>
    <row r="367" spans="2:24" ht="63">
      <c r="B367" s="292"/>
      <c r="C367" s="292"/>
      <c r="D367" s="301"/>
      <c r="E367" s="67" t="s">
        <v>600</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9"/>
        <v>110000</v>
      </c>
    </row>
    <row r="368" spans="2:24" ht="15.75">
      <c r="B368" s="290" t="s">
        <v>205</v>
      </c>
      <c r="C368" s="290" t="s">
        <v>121</v>
      </c>
      <c r="D368" s="299" t="s">
        <v>876</v>
      </c>
      <c r="E368" s="70"/>
      <c r="F368" s="45"/>
      <c r="G368" s="18"/>
      <c r="H368" s="216"/>
      <c r="I368" s="249"/>
      <c r="J368" s="185">
        <f>SUM(J369:J381)</f>
        <v>6509640.67</v>
      </c>
      <c r="K368" s="185">
        <f aca="true" t="shared" si="32" ref="K368:W368">SUM(K369:K381)</f>
        <v>0</v>
      </c>
      <c r="L368" s="185">
        <f t="shared" si="32"/>
        <v>393320.67000000004</v>
      </c>
      <c r="M368" s="185">
        <f t="shared" si="32"/>
        <v>0</v>
      </c>
      <c r="N368" s="185">
        <f t="shared" si="32"/>
        <v>0</v>
      </c>
      <c r="O368" s="185">
        <f t="shared" si="32"/>
        <v>310000</v>
      </c>
      <c r="P368" s="185">
        <f t="shared" si="32"/>
        <v>-120000</v>
      </c>
      <c r="Q368" s="185">
        <f t="shared" si="32"/>
        <v>480000</v>
      </c>
      <c r="R368" s="185">
        <f t="shared" si="32"/>
        <v>130000</v>
      </c>
      <c r="S368" s="185">
        <f t="shared" si="32"/>
        <v>311320</v>
      </c>
      <c r="T368" s="185">
        <f t="shared" si="32"/>
        <v>4700000</v>
      </c>
      <c r="U368" s="185">
        <f t="shared" si="32"/>
        <v>305000</v>
      </c>
      <c r="V368" s="185">
        <f t="shared" si="32"/>
        <v>0</v>
      </c>
      <c r="W368" s="185">
        <f t="shared" si="32"/>
        <v>558425.2400000001</v>
      </c>
      <c r="X368" s="184">
        <f t="shared" si="29"/>
        <v>5951215.43</v>
      </c>
    </row>
    <row r="369" spans="2:24" ht="78.75">
      <c r="B369" s="291"/>
      <c r="C369" s="291"/>
      <c r="D369" s="300"/>
      <c r="E369" s="72" t="s">
        <v>48</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9"/>
        <v>0</v>
      </c>
    </row>
    <row r="370" spans="2:24" ht="141.75">
      <c r="B370" s="291"/>
      <c r="C370" s="291"/>
      <c r="D370" s="300"/>
      <c r="E370" s="47" t="s">
        <v>196</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9"/>
        <v>0</v>
      </c>
    </row>
    <row r="371" spans="2:24" ht="63">
      <c r="B371" s="291"/>
      <c r="C371" s="291"/>
      <c r="D371" s="300"/>
      <c r="E371" s="64" t="s">
        <v>151</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9"/>
        <v>0</v>
      </c>
    </row>
    <row r="372" spans="2:24" ht="31.5">
      <c r="B372" s="291"/>
      <c r="C372" s="291"/>
      <c r="D372" s="300"/>
      <c r="E372" s="64" t="s">
        <v>152</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9"/>
        <v>0</v>
      </c>
    </row>
    <row r="373" spans="2:24" ht="78.75">
      <c r="B373" s="291"/>
      <c r="C373" s="291"/>
      <c r="D373" s="300"/>
      <c r="E373" s="47" t="s">
        <v>155</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9"/>
        <v>0</v>
      </c>
    </row>
    <row r="374" spans="2:24" ht="31.5">
      <c r="B374" s="291"/>
      <c r="C374" s="291"/>
      <c r="D374" s="300"/>
      <c r="E374" s="47" t="s">
        <v>601</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9"/>
        <v>380000</v>
      </c>
    </row>
    <row r="375" spans="2:24" ht="31.5">
      <c r="B375" s="291"/>
      <c r="C375" s="291"/>
      <c r="D375" s="300"/>
      <c r="E375" s="47" t="s">
        <v>602</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f>
        <v>162003.77</v>
      </c>
      <c r="X375" s="40">
        <f t="shared" si="29"/>
        <v>437996.23</v>
      </c>
    </row>
    <row r="376" spans="2:24" ht="31.5">
      <c r="B376" s="291"/>
      <c r="C376" s="291"/>
      <c r="D376" s="300"/>
      <c r="E376" s="47" t="s">
        <v>570</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f>
        <v>1780.8</v>
      </c>
      <c r="X376" s="40">
        <f t="shared" si="29"/>
        <v>433219.2</v>
      </c>
    </row>
    <row r="377" spans="2:24" ht="47.25">
      <c r="B377" s="291"/>
      <c r="C377" s="291"/>
      <c r="D377" s="300"/>
      <c r="E377" s="47" t="s">
        <v>818</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9"/>
        <v>0</v>
      </c>
    </row>
    <row r="378" spans="2:24" ht="63">
      <c r="B378" s="291"/>
      <c r="C378" s="291"/>
      <c r="D378" s="300"/>
      <c r="E378" s="70" t="s">
        <v>230</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9"/>
        <v>1566000</v>
      </c>
    </row>
    <row r="379" spans="2:24" ht="63">
      <c r="B379" s="291"/>
      <c r="C379" s="291"/>
      <c r="D379" s="300"/>
      <c r="E379" s="70" t="s">
        <v>231</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9"/>
        <v>1567000</v>
      </c>
    </row>
    <row r="380" spans="2:24" ht="63">
      <c r="B380" s="291"/>
      <c r="C380" s="291"/>
      <c r="D380" s="300"/>
      <c r="E380" s="70" t="s">
        <v>232</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9"/>
        <v>1567000</v>
      </c>
    </row>
    <row r="381" spans="2:24" ht="47.25" hidden="1">
      <c r="B381" s="292"/>
      <c r="C381" s="292"/>
      <c r="D381" s="301"/>
      <c r="E381" s="47" t="s">
        <v>937</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9"/>
        <v>0</v>
      </c>
    </row>
    <row r="382" spans="2:24" ht="15.75" customHeight="1">
      <c r="B382" s="290" t="s">
        <v>206</v>
      </c>
      <c r="C382" s="290" t="s">
        <v>367</v>
      </c>
      <c r="D382" s="299" t="s">
        <v>156</v>
      </c>
      <c r="E382" s="70"/>
      <c r="F382" s="45"/>
      <c r="G382" s="18"/>
      <c r="H382" s="216"/>
      <c r="I382" s="249"/>
      <c r="J382" s="185">
        <f>SUM(J383:J389)</f>
        <v>418568.39</v>
      </c>
      <c r="K382" s="185">
        <f aca="true" t="shared" si="33" ref="K382:W382">SUM(K383:K389)</f>
        <v>0</v>
      </c>
      <c r="L382" s="185">
        <f t="shared" si="33"/>
        <v>5568.39</v>
      </c>
      <c r="M382" s="185">
        <f t="shared" si="33"/>
        <v>0</v>
      </c>
      <c r="N382" s="185">
        <f t="shared" si="33"/>
        <v>0</v>
      </c>
      <c r="O382" s="185">
        <f t="shared" si="33"/>
        <v>30000</v>
      </c>
      <c r="P382" s="185">
        <f t="shared" si="33"/>
        <v>10000</v>
      </c>
      <c r="Q382" s="185">
        <f t="shared" si="33"/>
        <v>100000</v>
      </c>
      <c r="R382" s="185">
        <f t="shared" si="33"/>
        <v>0</v>
      </c>
      <c r="S382" s="185">
        <f t="shared" si="33"/>
        <v>2034000</v>
      </c>
      <c r="T382" s="185">
        <f t="shared" si="33"/>
        <v>-1964000</v>
      </c>
      <c r="U382" s="185">
        <f t="shared" si="33"/>
        <v>203000</v>
      </c>
      <c r="V382" s="185">
        <f t="shared" si="33"/>
        <v>0</v>
      </c>
      <c r="W382" s="185">
        <f t="shared" si="33"/>
        <v>41037.82</v>
      </c>
      <c r="X382" s="184">
        <f t="shared" si="29"/>
        <v>377530.5700000001</v>
      </c>
    </row>
    <row r="383" spans="2:24" ht="78.75">
      <c r="B383" s="291"/>
      <c r="C383" s="291"/>
      <c r="D383" s="300"/>
      <c r="E383" s="70" t="s">
        <v>157</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9"/>
        <v>0</v>
      </c>
    </row>
    <row r="384" spans="2:24" ht="63">
      <c r="B384" s="291"/>
      <c r="C384" s="291"/>
      <c r="D384" s="300"/>
      <c r="E384" s="70" t="s">
        <v>938</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9"/>
        <v>60000</v>
      </c>
    </row>
    <row r="385" spans="2:24" ht="63" hidden="1">
      <c r="B385" s="291"/>
      <c r="C385" s="291"/>
      <c r="D385" s="300"/>
      <c r="E385" s="70" t="s">
        <v>230</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9"/>
        <v>0</v>
      </c>
    </row>
    <row r="386" spans="2:24" ht="63" hidden="1">
      <c r="B386" s="291"/>
      <c r="C386" s="291"/>
      <c r="D386" s="300"/>
      <c r="E386" s="70" t="s">
        <v>231</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9"/>
        <v>0</v>
      </c>
    </row>
    <row r="387" spans="2:24" ht="63" hidden="1">
      <c r="B387" s="291"/>
      <c r="C387" s="291"/>
      <c r="D387" s="300"/>
      <c r="E387" s="70" t="s">
        <v>232</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9"/>
        <v>0</v>
      </c>
    </row>
    <row r="388" spans="2:24" ht="47.25">
      <c r="B388" s="291"/>
      <c r="C388" s="291"/>
      <c r="D388" s="300"/>
      <c r="E388" s="70" t="s">
        <v>486</v>
      </c>
      <c r="F388" s="45"/>
      <c r="G388" s="18"/>
      <c r="H388" s="216"/>
      <c r="I388" s="249">
        <v>3142</v>
      </c>
      <c r="J388" s="45">
        <v>260000</v>
      </c>
      <c r="K388" s="49"/>
      <c r="L388" s="49"/>
      <c r="M388" s="49"/>
      <c r="N388" s="49"/>
      <c r="O388" s="49"/>
      <c r="P388" s="49"/>
      <c r="Q388" s="49"/>
      <c r="R388" s="49"/>
      <c r="S388" s="49"/>
      <c r="T388" s="49"/>
      <c r="U388" s="49">
        <v>260000</v>
      </c>
      <c r="V388" s="49"/>
      <c r="W388" s="49"/>
      <c r="X388" s="40">
        <f t="shared" si="29"/>
        <v>260000</v>
      </c>
    </row>
    <row r="389" spans="2:24" ht="31.5">
      <c r="B389" s="292"/>
      <c r="C389" s="292"/>
      <c r="D389" s="301"/>
      <c r="E389" s="70" t="s">
        <v>137</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f>
        <v>35469.43</v>
      </c>
      <c r="X389" s="40">
        <f t="shared" si="29"/>
        <v>57530.57</v>
      </c>
    </row>
    <row r="390" spans="2:24" ht="15.75">
      <c r="B390" s="288" t="s">
        <v>201</v>
      </c>
      <c r="C390" s="288" t="s">
        <v>74</v>
      </c>
      <c r="D390" s="299" t="s">
        <v>335</v>
      </c>
      <c r="E390" s="70"/>
      <c r="F390" s="45"/>
      <c r="G390" s="18"/>
      <c r="H390" s="216"/>
      <c r="I390" s="249"/>
      <c r="J390" s="185">
        <f>J395+J401+J408+J391</f>
        <v>2521339.75</v>
      </c>
      <c r="K390" s="185">
        <f aca="true" t="shared" si="34" ref="K390:W390">K395+K401+K408+K391</f>
        <v>0</v>
      </c>
      <c r="L390" s="185">
        <f t="shared" si="34"/>
        <v>0</v>
      </c>
      <c r="M390" s="185">
        <f t="shared" si="34"/>
        <v>0</v>
      </c>
      <c r="N390" s="185">
        <f t="shared" si="34"/>
        <v>0</v>
      </c>
      <c r="O390" s="185">
        <f t="shared" si="34"/>
        <v>853339.75</v>
      </c>
      <c r="P390" s="185">
        <f t="shared" si="34"/>
        <v>561200</v>
      </c>
      <c r="Q390" s="185">
        <f t="shared" si="34"/>
        <v>661800</v>
      </c>
      <c r="R390" s="185">
        <f t="shared" si="34"/>
        <v>45000</v>
      </c>
      <c r="S390" s="185">
        <f t="shared" si="34"/>
        <v>370000</v>
      </c>
      <c r="T390" s="185">
        <f t="shared" si="34"/>
        <v>0</v>
      </c>
      <c r="U390" s="185">
        <f t="shared" si="34"/>
        <v>30000</v>
      </c>
      <c r="V390" s="185">
        <f t="shared" si="34"/>
        <v>0</v>
      </c>
      <c r="W390" s="185">
        <f t="shared" si="34"/>
        <v>2181775.04</v>
      </c>
      <c r="X390" s="184">
        <f t="shared" si="29"/>
        <v>339564.70999999996</v>
      </c>
    </row>
    <row r="391" spans="2:24" ht="31.5">
      <c r="B391" s="289"/>
      <c r="C391" s="289"/>
      <c r="D391" s="300"/>
      <c r="E391" s="83" t="s">
        <v>498</v>
      </c>
      <c r="F391" s="71"/>
      <c r="G391" s="84"/>
      <c r="H391" s="221"/>
      <c r="I391" s="253"/>
      <c r="J391" s="71">
        <f>SUM(J392:J394)</f>
        <v>800000</v>
      </c>
      <c r="K391" s="71">
        <f aca="true" t="shared" si="35" ref="K391:W391">SUM(K392:K394)</f>
        <v>0</v>
      </c>
      <c r="L391" s="71">
        <f t="shared" si="35"/>
        <v>0</v>
      </c>
      <c r="M391" s="71">
        <f t="shared" si="35"/>
        <v>0</v>
      </c>
      <c r="N391" s="71">
        <f t="shared" si="35"/>
        <v>0</v>
      </c>
      <c r="O391" s="71">
        <f t="shared" si="35"/>
        <v>30000</v>
      </c>
      <c r="P391" s="71">
        <f t="shared" si="35"/>
        <v>200000</v>
      </c>
      <c r="Q391" s="71">
        <f t="shared" si="35"/>
        <v>410000</v>
      </c>
      <c r="R391" s="71">
        <f t="shared" si="35"/>
        <v>0</v>
      </c>
      <c r="S391" s="71">
        <f t="shared" si="35"/>
        <v>160000</v>
      </c>
      <c r="T391" s="71">
        <f t="shared" si="35"/>
        <v>0</v>
      </c>
      <c r="U391" s="71">
        <f t="shared" si="35"/>
        <v>0</v>
      </c>
      <c r="V391" s="71">
        <f t="shared" si="35"/>
        <v>0</v>
      </c>
      <c r="W391" s="71">
        <f t="shared" si="35"/>
        <v>676292</v>
      </c>
      <c r="X391" s="40">
        <f t="shared" si="29"/>
        <v>123708</v>
      </c>
    </row>
    <row r="392" spans="2:24" ht="47.25">
      <c r="B392" s="289"/>
      <c r="C392" s="289"/>
      <c r="D392" s="300"/>
      <c r="E392" s="10" t="s">
        <v>499</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9"/>
        <v>52.79999999998836</v>
      </c>
    </row>
    <row r="393" spans="2:24" ht="47.25">
      <c r="B393" s="289"/>
      <c r="C393" s="289"/>
      <c r="D393" s="300"/>
      <c r="E393" s="10" t="s">
        <v>500</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f>
        <v>26344.8</v>
      </c>
      <c r="X393" s="40">
        <f t="shared" si="29"/>
        <v>123655.2</v>
      </c>
    </row>
    <row r="394" spans="2:24" ht="63">
      <c r="B394" s="289"/>
      <c r="C394" s="289"/>
      <c r="D394" s="300"/>
      <c r="E394" s="12" t="s">
        <v>173</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9"/>
        <v>0</v>
      </c>
    </row>
    <row r="395" spans="2:24" ht="31.5">
      <c r="B395" s="289"/>
      <c r="C395" s="289"/>
      <c r="D395" s="300"/>
      <c r="E395" s="85" t="s">
        <v>893</v>
      </c>
      <c r="F395" s="49"/>
      <c r="G395" s="86"/>
      <c r="H395" s="220"/>
      <c r="I395" s="249"/>
      <c r="J395" s="26">
        <f>SUM(J396:J400)</f>
        <v>831800</v>
      </c>
      <c r="K395" s="26">
        <f aca="true" t="shared" si="36" ref="K395:W395">SUM(K396:K400)</f>
        <v>0</v>
      </c>
      <c r="L395" s="26">
        <f t="shared" si="36"/>
        <v>0</v>
      </c>
      <c r="M395" s="26">
        <f t="shared" si="36"/>
        <v>0</v>
      </c>
      <c r="N395" s="26">
        <f t="shared" si="36"/>
        <v>0</v>
      </c>
      <c r="O395" s="26">
        <f t="shared" si="36"/>
        <v>153800</v>
      </c>
      <c r="P395" s="26">
        <f t="shared" si="36"/>
        <v>346200</v>
      </c>
      <c r="Q395" s="26">
        <f t="shared" si="36"/>
        <v>251800</v>
      </c>
      <c r="R395" s="26">
        <f t="shared" si="36"/>
        <v>0</v>
      </c>
      <c r="S395" s="26">
        <f t="shared" si="36"/>
        <v>80000</v>
      </c>
      <c r="T395" s="26">
        <f t="shared" si="36"/>
        <v>0</v>
      </c>
      <c r="U395" s="26">
        <f t="shared" si="36"/>
        <v>0</v>
      </c>
      <c r="V395" s="26">
        <f t="shared" si="36"/>
        <v>0</v>
      </c>
      <c r="W395" s="26">
        <f t="shared" si="36"/>
        <v>735962.29</v>
      </c>
      <c r="X395" s="40">
        <f t="shared" si="29"/>
        <v>95837.70999999996</v>
      </c>
    </row>
    <row r="396" spans="2:24" ht="15.75">
      <c r="B396" s="289"/>
      <c r="C396" s="289"/>
      <c r="D396" s="300"/>
      <c r="E396" s="87" t="s">
        <v>243</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9"/>
        <v>0</v>
      </c>
    </row>
    <row r="397" spans="2:24" ht="31.5">
      <c r="B397" s="289"/>
      <c r="C397" s="289"/>
      <c r="D397" s="300"/>
      <c r="E397" s="87" t="s">
        <v>244</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9"/>
        <v>39837.71000000001</v>
      </c>
    </row>
    <row r="398" spans="2:24" ht="15.75">
      <c r="B398" s="289"/>
      <c r="C398" s="289"/>
      <c r="D398" s="300"/>
      <c r="E398" s="47" t="s">
        <v>511</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9"/>
        <v>0</v>
      </c>
    </row>
    <row r="399" spans="2:24" ht="31.5">
      <c r="B399" s="289"/>
      <c r="C399" s="289"/>
      <c r="D399" s="300"/>
      <c r="E399" s="47" t="s">
        <v>512</v>
      </c>
      <c r="F399" s="49"/>
      <c r="G399" s="86"/>
      <c r="H399" s="220"/>
      <c r="I399" s="249">
        <v>3210</v>
      </c>
      <c r="J399" s="9">
        <v>80000</v>
      </c>
      <c r="K399" s="49"/>
      <c r="L399" s="49"/>
      <c r="M399" s="49"/>
      <c r="N399" s="49"/>
      <c r="O399" s="49"/>
      <c r="P399" s="49"/>
      <c r="Q399" s="49"/>
      <c r="R399" s="49"/>
      <c r="S399" s="49">
        <v>80000</v>
      </c>
      <c r="T399" s="49"/>
      <c r="U399" s="49"/>
      <c r="V399" s="49"/>
      <c r="W399" s="49">
        <v>24000</v>
      </c>
      <c r="X399" s="40">
        <f t="shared" si="29"/>
        <v>56000</v>
      </c>
    </row>
    <row r="400" spans="2:24" ht="47.25">
      <c r="B400" s="289"/>
      <c r="C400" s="289"/>
      <c r="D400" s="300"/>
      <c r="E400" s="47" t="s">
        <v>245</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9"/>
        <v>0</v>
      </c>
    </row>
    <row r="401" spans="2:24" ht="31.5">
      <c r="B401" s="289"/>
      <c r="C401" s="289"/>
      <c r="D401" s="300"/>
      <c r="E401" s="85" t="s">
        <v>246</v>
      </c>
      <c r="F401" s="49"/>
      <c r="G401" s="86"/>
      <c r="H401" s="220"/>
      <c r="I401" s="249"/>
      <c r="J401" s="26">
        <f>SUM(J402:J407)</f>
        <v>889539.75</v>
      </c>
      <c r="K401" s="26">
        <f aca="true" t="shared" si="37" ref="K401:W401">SUM(K402:K407)</f>
        <v>0</v>
      </c>
      <c r="L401" s="26">
        <f t="shared" si="37"/>
        <v>0</v>
      </c>
      <c r="M401" s="26">
        <f t="shared" si="37"/>
        <v>0</v>
      </c>
      <c r="N401" s="26">
        <f t="shared" si="37"/>
        <v>0</v>
      </c>
      <c r="O401" s="26">
        <f t="shared" si="37"/>
        <v>659539.75</v>
      </c>
      <c r="P401" s="26">
        <f t="shared" si="37"/>
        <v>25000</v>
      </c>
      <c r="Q401" s="26">
        <f t="shared" si="37"/>
        <v>0</v>
      </c>
      <c r="R401" s="26">
        <f t="shared" si="37"/>
        <v>45000</v>
      </c>
      <c r="S401" s="26">
        <f t="shared" si="37"/>
        <v>130000</v>
      </c>
      <c r="T401" s="26">
        <f t="shared" si="37"/>
        <v>0</v>
      </c>
      <c r="U401" s="26">
        <f t="shared" si="37"/>
        <v>30000</v>
      </c>
      <c r="V401" s="26">
        <f t="shared" si="37"/>
        <v>0</v>
      </c>
      <c r="W401" s="26">
        <f t="shared" si="37"/>
        <v>769520.75</v>
      </c>
      <c r="X401" s="40">
        <f t="shared" si="29"/>
        <v>120019</v>
      </c>
    </row>
    <row r="402" spans="2:24" ht="94.5">
      <c r="B402" s="289"/>
      <c r="C402" s="289"/>
      <c r="D402" s="300"/>
      <c r="E402" s="47" t="s">
        <v>3</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29"/>
        <v>0</v>
      </c>
    </row>
    <row r="403" spans="2:24" ht="78.75">
      <c r="B403" s="289"/>
      <c r="C403" s="289"/>
      <c r="D403" s="300"/>
      <c r="E403" s="47" t="s">
        <v>4</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29"/>
        <v>0</v>
      </c>
    </row>
    <row r="404" spans="2:24" ht="31.5">
      <c r="B404" s="289"/>
      <c r="C404" s="289"/>
      <c r="D404" s="300"/>
      <c r="E404" s="47" t="s">
        <v>326</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29"/>
        <v>10019</v>
      </c>
    </row>
    <row r="405" spans="2:24" ht="78.75">
      <c r="B405" s="289"/>
      <c r="C405" s="289"/>
      <c r="D405" s="300"/>
      <c r="E405" s="47" t="s">
        <v>287</v>
      </c>
      <c r="F405" s="49"/>
      <c r="G405" s="86"/>
      <c r="H405" s="220"/>
      <c r="I405" s="249">
        <v>3210</v>
      </c>
      <c r="J405" s="9">
        <v>30000</v>
      </c>
      <c r="K405" s="49"/>
      <c r="L405" s="49"/>
      <c r="M405" s="49"/>
      <c r="N405" s="49"/>
      <c r="O405" s="49"/>
      <c r="P405" s="49"/>
      <c r="Q405" s="49"/>
      <c r="R405" s="49"/>
      <c r="S405" s="49"/>
      <c r="T405" s="49"/>
      <c r="U405" s="49">
        <v>30000</v>
      </c>
      <c r="V405" s="49"/>
      <c r="W405" s="49"/>
      <c r="X405" s="40">
        <f t="shared" si="29"/>
        <v>30000</v>
      </c>
    </row>
    <row r="406" spans="2:24" ht="63">
      <c r="B406" s="289"/>
      <c r="C406" s="289"/>
      <c r="D406" s="300"/>
      <c r="E406" s="47" t="s">
        <v>485</v>
      </c>
      <c r="F406" s="49"/>
      <c r="G406" s="86"/>
      <c r="H406" s="220"/>
      <c r="I406" s="249">
        <v>3210</v>
      </c>
      <c r="J406" s="9">
        <v>80000</v>
      </c>
      <c r="K406" s="49"/>
      <c r="L406" s="49"/>
      <c r="M406" s="49"/>
      <c r="N406" s="49"/>
      <c r="O406" s="49"/>
      <c r="P406" s="49"/>
      <c r="Q406" s="49"/>
      <c r="R406" s="49"/>
      <c r="S406" s="49"/>
      <c r="T406" s="49"/>
      <c r="U406" s="49">
        <v>80000</v>
      </c>
      <c r="V406" s="49"/>
      <c r="W406" s="49"/>
      <c r="X406" s="40">
        <f t="shared" si="29"/>
        <v>80000</v>
      </c>
    </row>
    <row r="407" spans="2:24" ht="47.25" hidden="1">
      <c r="B407" s="289"/>
      <c r="C407" s="289"/>
      <c r="D407" s="300"/>
      <c r="E407" s="31" t="s">
        <v>360</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29"/>
        <v>0</v>
      </c>
    </row>
    <row r="408" spans="2:24" ht="47.25" hidden="1">
      <c r="B408" s="289"/>
      <c r="C408" s="289"/>
      <c r="D408" s="300"/>
      <c r="E408" s="83" t="s">
        <v>361</v>
      </c>
      <c r="F408" s="71"/>
      <c r="G408" s="84"/>
      <c r="H408" s="221"/>
      <c r="I408" s="249"/>
      <c r="J408" s="71">
        <f>J409</f>
        <v>0</v>
      </c>
      <c r="K408" s="71">
        <f aca="true" t="shared" si="38" ref="K408:W408">K409</f>
        <v>0</v>
      </c>
      <c r="L408" s="71">
        <f t="shared" si="38"/>
        <v>0</v>
      </c>
      <c r="M408" s="71">
        <f t="shared" si="38"/>
        <v>0</v>
      </c>
      <c r="N408" s="71">
        <f t="shared" si="38"/>
        <v>0</v>
      </c>
      <c r="O408" s="71">
        <f t="shared" si="38"/>
        <v>10000</v>
      </c>
      <c r="P408" s="71">
        <f t="shared" si="38"/>
        <v>-10000</v>
      </c>
      <c r="Q408" s="71">
        <f t="shared" si="38"/>
        <v>0</v>
      </c>
      <c r="R408" s="71">
        <f t="shared" si="38"/>
        <v>0</v>
      </c>
      <c r="S408" s="71">
        <f t="shared" si="38"/>
        <v>0</v>
      </c>
      <c r="T408" s="71">
        <f t="shared" si="38"/>
        <v>0</v>
      </c>
      <c r="U408" s="71">
        <f t="shared" si="38"/>
        <v>0</v>
      </c>
      <c r="V408" s="71">
        <f t="shared" si="38"/>
        <v>0</v>
      </c>
      <c r="W408" s="71">
        <f t="shared" si="38"/>
        <v>0</v>
      </c>
      <c r="X408" s="40">
        <f t="shared" si="29"/>
        <v>0</v>
      </c>
    </row>
    <row r="409" spans="2:24" ht="47.25" hidden="1">
      <c r="B409" s="289"/>
      <c r="C409" s="289"/>
      <c r="D409" s="300"/>
      <c r="E409" s="31" t="s">
        <v>557</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29"/>
        <v>0</v>
      </c>
    </row>
    <row r="410" spans="2:24" ht="15.75">
      <c r="B410" s="188"/>
      <c r="C410" s="194"/>
      <c r="D410" s="325" t="s">
        <v>851</v>
      </c>
      <c r="E410" s="326"/>
      <c r="F410" s="100"/>
      <c r="G410" s="101"/>
      <c r="H410" s="223"/>
      <c r="I410" s="254"/>
      <c r="J410" s="43">
        <f aca="true" t="shared" si="39" ref="J410:W410">J411+J468+J494+J526+J531</f>
        <v>21291720.73</v>
      </c>
      <c r="K410" s="43">
        <f t="shared" si="39"/>
        <v>0</v>
      </c>
      <c r="L410" s="43">
        <f t="shared" si="39"/>
        <v>1404653.81</v>
      </c>
      <c r="M410" s="43">
        <f t="shared" si="39"/>
        <v>562839</v>
      </c>
      <c r="N410" s="43">
        <f t="shared" si="39"/>
        <v>10500</v>
      </c>
      <c r="O410" s="43">
        <f t="shared" si="39"/>
        <v>1830718</v>
      </c>
      <c r="P410" s="43">
        <f t="shared" si="39"/>
        <v>1461150</v>
      </c>
      <c r="Q410" s="43">
        <f t="shared" si="39"/>
        <v>1405509</v>
      </c>
      <c r="R410" s="43">
        <f t="shared" si="39"/>
        <v>8089810.529999999</v>
      </c>
      <c r="S410" s="43">
        <f t="shared" si="39"/>
        <v>5578493.99</v>
      </c>
      <c r="T410" s="43">
        <f t="shared" si="39"/>
        <v>948046.4</v>
      </c>
      <c r="U410" s="43">
        <f t="shared" si="39"/>
        <v>0</v>
      </c>
      <c r="V410" s="43">
        <f t="shared" si="39"/>
        <v>0</v>
      </c>
      <c r="W410" s="43">
        <f t="shared" si="39"/>
        <v>15066309.14</v>
      </c>
      <c r="X410" s="60">
        <f t="shared" si="29"/>
        <v>6225411.589999996</v>
      </c>
    </row>
    <row r="411" spans="2:24" ht="15.75">
      <c r="B411" s="290" t="s">
        <v>207</v>
      </c>
      <c r="C411" s="290" t="s">
        <v>877</v>
      </c>
      <c r="D411" s="299" t="s">
        <v>158</v>
      </c>
      <c r="E411" s="94"/>
      <c r="F411" s="76"/>
      <c r="G411" s="99"/>
      <c r="H411" s="224"/>
      <c r="I411" s="255"/>
      <c r="J411" s="211">
        <f>J412+J413+J414+J418+J419+J420+J421+J422+J423+J428+J433+J439+J440+J450+J451+J453+J454+J455+J456+J457+J458+J459+J460+J424+J425+J426+J452+J467+J461+J427+J462+J464+J466+J465+J463</f>
        <v>9500684.17</v>
      </c>
      <c r="K411" s="211">
        <f aca="true" t="shared" si="40" ref="K411:W411">K412+K413+K414+K418+K419+K420+K421+K422+K423+K428+K433+K439+K440+K450+K451+K453+K454+K455+K456+K457+K458+K459+K460+K424+K425+K426+K452+K467+K461+K427+K462+K464+K466+K465+K463</f>
        <v>0</v>
      </c>
      <c r="L411" s="211">
        <f t="shared" si="40"/>
        <v>370514.57</v>
      </c>
      <c r="M411" s="211">
        <f t="shared" si="40"/>
        <v>558900</v>
      </c>
      <c r="N411" s="211">
        <f t="shared" si="40"/>
        <v>10500</v>
      </c>
      <c r="O411" s="211">
        <f t="shared" si="40"/>
        <v>1344096</v>
      </c>
      <c r="P411" s="211">
        <f t="shared" si="40"/>
        <v>640910</v>
      </c>
      <c r="Q411" s="211">
        <f t="shared" si="40"/>
        <v>450509</v>
      </c>
      <c r="R411" s="211">
        <f t="shared" si="40"/>
        <v>4332506</v>
      </c>
      <c r="S411" s="211">
        <f t="shared" si="40"/>
        <v>1704920</v>
      </c>
      <c r="T411" s="211">
        <f t="shared" si="40"/>
        <v>200000</v>
      </c>
      <c r="U411" s="211">
        <f t="shared" si="40"/>
        <v>-112171.39999999997</v>
      </c>
      <c r="V411" s="211">
        <f t="shared" si="40"/>
        <v>0</v>
      </c>
      <c r="W411" s="211">
        <f t="shared" si="40"/>
        <v>7040457.500000001</v>
      </c>
      <c r="X411" s="184">
        <f t="shared" si="29"/>
        <v>2460226.669999999</v>
      </c>
    </row>
    <row r="412" spans="2:24" ht="78.75">
      <c r="B412" s="291"/>
      <c r="C412" s="291"/>
      <c r="D412" s="300"/>
      <c r="E412" s="19" t="s">
        <v>842</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29"/>
        <v>0</v>
      </c>
    </row>
    <row r="413" spans="2:24" ht="47.25">
      <c r="B413" s="291"/>
      <c r="C413" s="291"/>
      <c r="D413" s="300"/>
      <c r="E413" s="20" t="s">
        <v>329</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29"/>
        <v>0</v>
      </c>
    </row>
    <row r="414" spans="2:24" ht="78.75">
      <c r="B414" s="291"/>
      <c r="C414" s="291"/>
      <c r="D414" s="300"/>
      <c r="E414" s="10" t="s">
        <v>30</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29"/>
        <v>0</v>
      </c>
    </row>
    <row r="415" spans="2:24" ht="47.25">
      <c r="B415" s="291"/>
      <c r="C415" s="291"/>
      <c r="D415" s="300"/>
      <c r="E415" s="22" t="s">
        <v>331</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29"/>
        <v>0</v>
      </c>
    </row>
    <row r="416" spans="2:24" ht="31.5">
      <c r="B416" s="291"/>
      <c r="C416" s="291"/>
      <c r="D416" s="300"/>
      <c r="E416" s="23" t="s">
        <v>332</v>
      </c>
      <c r="F416" s="76"/>
      <c r="G416" s="99"/>
      <c r="H416" s="224"/>
      <c r="I416" s="255">
        <v>3110</v>
      </c>
      <c r="J416" s="9">
        <v>8000</v>
      </c>
      <c r="K416" s="49"/>
      <c r="L416" s="9">
        <v>8000</v>
      </c>
      <c r="M416" s="49"/>
      <c r="N416" s="49"/>
      <c r="O416" s="49"/>
      <c r="P416" s="49"/>
      <c r="Q416" s="49"/>
      <c r="R416" s="49"/>
      <c r="S416" s="49"/>
      <c r="T416" s="49"/>
      <c r="U416" s="49"/>
      <c r="V416" s="49"/>
      <c r="W416" s="9">
        <v>8000</v>
      </c>
      <c r="X416" s="40">
        <f t="shared" si="29"/>
        <v>0</v>
      </c>
    </row>
    <row r="417" spans="2:24" ht="31.5">
      <c r="B417" s="291"/>
      <c r="C417" s="291"/>
      <c r="D417" s="300"/>
      <c r="E417" s="23" t="s">
        <v>333</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29"/>
        <v>0</v>
      </c>
    </row>
    <row r="418" spans="2:24" ht="110.25">
      <c r="B418" s="291"/>
      <c r="C418" s="291"/>
      <c r="D418" s="300"/>
      <c r="E418" s="10" t="s">
        <v>762</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29"/>
        <v>0</v>
      </c>
    </row>
    <row r="419" spans="2:24" ht="63">
      <c r="B419" s="291"/>
      <c r="C419" s="291"/>
      <c r="D419" s="300"/>
      <c r="E419" s="10" t="s">
        <v>564</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29"/>
        <v>0</v>
      </c>
    </row>
    <row r="420" spans="2:24" ht="78.75">
      <c r="B420" s="291"/>
      <c r="C420" s="291"/>
      <c r="D420" s="300"/>
      <c r="E420" s="10" t="s">
        <v>797</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29"/>
        <v>0</v>
      </c>
    </row>
    <row r="421" spans="2:24" ht="47.25">
      <c r="B421" s="291"/>
      <c r="C421" s="291"/>
      <c r="D421" s="300"/>
      <c r="E421" s="10" t="s">
        <v>336</v>
      </c>
      <c r="F421" s="76"/>
      <c r="G421" s="18"/>
      <c r="H421" s="224"/>
      <c r="I421" s="255">
        <v>3110</v>
      </c>
      <c r="J421" s="9">
        <v>6950</v>
      </c>
      <c r="K421" s="49"/>
      <c r="L421" s="9">
        <v>6950</v>
      </c>
      <c r="M421" s="49"/>
      <c r="N421" s="49"/>
      <c r="O421" s="49"/>
      <c r="P421" s="49"/>
      <c r="Q421" s="49"/>
      <c r="R421" s="49"/>
      <c r="S421" s="49"/>
      <c r="T421" s="49"/>
      <c r="U421" s="49"/>
      <c r="V421" s="49"/>
      <c r="W421" s="9">
        <v>6950</v>
      </c>
      <c r="X421" s="40">
        <f aca="true" t="shared" si="41" ref="X421:X486">K421+L421+M421+N421+O421+P421+Q421+R421+S421+T421+U421-W421</f>
        <v>0</v>
      </c>
    </row>
    <row r="422" spans="2:24" ht="78.75">
      <c r="B422" s="291"/>
      <c r="C422" s="291"/>
      <c r="D422" s="300"/>
      <c r="E422" s="10" t="s">
        <v>143</v>
      </c>
      <c r="F422" s="76"/>
      <c r="G422" s="18"/>
      <c r="H422" s="224"/>
      <c r="I422" s="251" t="s">
        <v>751</v>
      </c>
      <c r="J422" s="9">
        <v>400000</v>
      </c>
      <c r="K422" s="49"/>
      <c r="L422" s="9"/>
      <c r="M422" s="49">
        <v>400000</v>
      </c>
      <c r="N422" s="49"/>
      <c r="O422" s="49"/>
      <c r="P422" s="49"/>
      <c r="Q422" s="49"/>
      <c r="R422" s="49"/>
      <c r="S422" s="49"/>
      <c r="T422" s="49"/>
      <c r="U422" s="49"/>
      <c r="V422" s="49"/>
      <c r="W422" s="9">
        <f>400000-315.08</f>
        <v>399684.92</v>
      </c>
      <c r="X422" s="40">
        <f t="shared" si="41"/>
        <v>315.0800000000163</v>
      </c>
    </row>
    <row r="423" spans="2:24" ht="78.75">
      <c r="B423" s="291"/>
      <c r="C423" s="291"/>
      <c r="D423" s="300"/>
      <c r="E423" s="10" t="s">
        <v>16</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41"/>
        <v>0</v>
      </c>
    </row>
    <row r="424" spans="2:24" ht="94.5">
      <c r="B424" s="291"/>
      <c r="C424" s="291"/>
      <c r="D424" s="300"/>
      <c r="E424" s="10" t="s">
        <v>664</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41"/>
        <v>0</v>
      </c>
    </row>
    <row r="425" spans="2:24" ht="63">
      <c r="B425" s="291"/>
      <c r="C425" s="291"/>
      <c r="D425" s="300"/>
      <c r="E425" s="10" t="s">
        <v>657</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41"/>
        <v>0</v>
      </c>
    </row>
    <row r="426" spans="2:24" ht="94.5">
      <c r="B426" s="291"/>
      <c r="C426" s="291"/>
      <c r="D426" s="300"/>
      <c r="E426" s="10" t="s">
        <v>955</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41"/>
        <v>0</v>
      </c>
    </row>
    <row r="427" spans="2:24" ht="94.5">
      <c r="B427" s="291"/>
      <c r="C427" s="291"/>
      <c r="D427" s="300"/>
      <c r="E427" s="10" t="s">
        <v>128</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41"/>
        <v>0</v>
      </c>
    </row>
    <row r="428" spans="2:24" ht="47.25">
      <c r="B428" s="291"/>
      <c r="C428" s="291"/>
      <c r="D428" s="300"/>
      <c r="E428" s="88" t="s">
        <v>558</v>
      </c>
      <c r="F428" s="49"/>
      <c r="G428" s="50"/>
      <c r="H428" s="220"/>
      <c r="I428" s="255"/>
      <c r="J428" s="9">
        <f>SUM(J429:J432)</f>
        <v>392983</v>
      </c>
      <c r="K428" s="9">
        <f aca="true" t="shared" si="42" ref="K428:W428">SUM(K429:K432)</f>
        <v>0</v>
      </c>
      <c r="L428" s="9">
        <f t="shared" si="42"/>
        <v>0</v>
      </c>
      <c r="M428" s="9">
        <f t="shared" si="42"/>
        <v>0</v>
      </c>
      <c r="N428" s="9">
        <f t="shared" si="42"/>
        <v>0</v>
      </c>
      <c r="O428" s="9">
        <f t="shared" si="42"/>
        <v>35625</v>
      </c>
      <c r="P428" s="9">
        <f t="shared" si="42"/>
        <v>0</v>
      </c>
      <c r="Q428" s="9">
        <f t="shared" si="42"/>
        <v>0</v>
      </c>
      <c r="R428" s="9">
        <f t="shared" si="42"/>
        <v>359246</v>
      </c>
      <c r="S428" s="9">
        <f t="shared" si="42"/>
        <v>0</v>
      </c>
      <c r="T428" s="9">
        <f t="shared" si="42"/>
        <v>0</v>
      </c>
      <c r="U428" s="9">
        <f t="shared" si="42"/>
        <v>-1888</v>
      </c>
      <c r="V428" s="9">
        <f t="shared" si="42"/>
        <v>0</v>
      </c>
      <c r="W428" s="9">
        <f t="shared" si="42"/>
        <v>392747.5</v>
      </c>
      <c r="X428" s="40">
        <f t="shared" si="41"/>
        <v>235.5</v>
      </c>
    </row>
    <row r="429" spans="2:24" ht="15.75">
      <c r="B429" s="291"/>
      <c r="C429" s="291"/>
      <c r="D429" s="300"/>
      <c r="E429" s="89" t="s">
        <v>559</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41"/>
        <v>87.5</v>
      </c>
    </row>
    <row r="430" spans="2:24" ht="15.75">
      <c r="B430" s="291"/>
      <c r="C430" s="291"/>
      <c r="D430" s="300"/>
      <c r="E430" s="89" t="s">
        <v>560</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41"/>
        <v>0</v>
      </c>
    </row>
    <row r="431" spans="2:24" ht="15.75">
      <c r="B431" s="291"/>
      <c r="C431" s="291"/>
      <c r="D431" s="300"/>
      <c r="E431" s="89" t="s">
        <v>561</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41"/>
        <v>147</v>
      </c>
    </row>
    <row r="432" spans="2:24" ht="15.75">
      <c r="B432" s="291"/>
      <c r="C432" s="291"/>
      <c r="D432" s="300"/>
      <c r="E432" s="89" t="s">
        <v>597</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41"/>
        <v>1</v>
      </c>
    </row>
    <row r="433" spans="2:24" ht="63">
      <c r="B433" s="291"/>
      <c r="C433" s="291"/>
      <c r="D433" s="300"/>
      <c r="E433" s="88" t="s">
        <v>160</v>
      </c>
      <c r="F433" s="49"/>
      <c r="G433" s="50"/>
      <c r="H433" s="220"/>
      <c r="I433" s="255"/>
      <c r="J433" s="9">
        <f>SUM(J434:J438)</f>
        <v>239370</v>
      </c>
      <c r="K433" s="9">
        <f aca="true" t="shared" si="43" ref="K433:W433">SUM(K434:K438)</f>
        <v>0</v>
      </c>
      <c r="L433" s="9">
        <f t="shared" si="43"/>
        <v>0</v>
      </c>
      <c r="M433" s="9">
        <f t="shared" si="43"/>
        <v>0</v>
      </c>
      <c r="N433" s="9">
        <f t="shared" si="43"/>
        <v>0</v>
      </c>
      <c r="O433" s="9">
        <f t="shared" si="43"/>
        <v>23520</v>
      </c>
      <c r="P433" s="9">
        <f t="shared" si="43"/>
        <v>-4500</v>
      </c>
      <c r="Q433" s="9">
        <f t="shared" si="43"/>
        <v>0</v>
      </c>
      <c r="R433" s="9">
        <f t="shared" si="43"/>
        <v>230700</v>
      </c>
      <c r="S433" s="9">
        <f t="shared" si="43"/>
        <v>0</v>
      </c>
      <c r="T433" s="9">
        <f t="shared" si="43"/>
        <v>0</v>
      </c>
      <c r="U433" s="9">
        <f t="shared" si="43"/>
        <v>-10350</v>
      </c>
      <c r="V433" s="9">
        <f t="shared" si="43"/>
        <v>0</v>
      </c>
      <c r="W433" s="9">
        <f t="shared" si="43"/>
        <v>239370</v>
      </c>
      <c r="X433" s="40">
        <f t="shared" si="41"/>
        <v>0</v>
      </c>
    </row>
    <row r="434" spans="2:24" ht="15.75">
      <c r="B434" s="291"/>
      <c r="C434" s="291"/>
      <c r="D434" s="300"/>
      <c r="E434" s="90" t="s">
        <v>161</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41"/>
        <v>0</v>
      </c>
    </row>
    <row r="435" spans="2:24" ht="15.75">
      <c r="B435" s="291"/>
      <c r="C435" s="291"/>
      <c r="D435" s="300"/>
      <c r="E435" s="90" t="s">
        <v>162</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41"/>
        <v>0</v>
      </c>
    </row>
    <row r="436" spans="2:24" ht="15.75">
      <c r="B436" s="291"/>
      <c r="C436" s="291"/>
      <c r="D436" s="300"/>
      <c r="E436" s="90" t="s">
        <v>163</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41"/>
        <v>0</v>
      </c>
    </row>
    <row r="437" spans="2:24" ht="31.5">
      <c r="B437" s="291"/>
      <c r="C437" s="291"/>
      <c r="D437" s="300"/>
      <c r="E437" s="90" t="s">
        <v>164</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41"/>
        <v>0</v>
      </c>
    </row>
    <row r="438" spans="2:24" ht="15.75">
      <c r="B438" s="291"/>
      <c r="C438" s="291"/>
      <c r="D438" s="300"/>
      <c r="E438" s="90" t="s">
        <v>165</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41"/>
        <v>0</v>
      </c>
    </row>
    <row r="439" spans="2:24" ht="47.25">
      <c r="B439" s="291"/>
      <c r="C439" s="291"/>
      <c r="D439" s="300"/>
      <c r="E439" s="10" t="s">
        <v>166</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41"/>
        <v>25000</v>
      </c>
    </row>
    <row r="440" spans="2:24" ht="47.25">
      <c r="B440" s="291"/>
      <c r="C440" s="291"/>
      <c r="D440" s="300"/>
      <c r="E440" s="88" t="s">
        <v>341</v>
      </c>
      <c r="F440" s="49"/>
      <c r="G440" s="50"/>
      <c r="H440" s="220"/>
      <c r="I440" s="255"/>
      <c r="J440" s="9">
        <f>SUM(J441:J449)</f>
        <v>2152917.24</v>
      </c>
      <c r="K440" s="9">
        <f aca="true" t="shared" si="44" ref="K440:W440">SUM(K441:K449)</f>
        <v>0</v>
      </c>
      <c r="L440" s="9">
        <f t="shared" si="44"/>
        <v>0</v>
      </c>
      <c r="M440" s="9">
        <f t="shared" si="44"/>
        <v>0</v>
      </c>
      <c r="N440" s="9">
        <f t="shared" si="44"/>
        <v>0</v>
      </c>
      <c r="O440" s="9">
        <f t="shared" si="44"/>
        <v>905250</v>
      </c>
      <c r="P440" s="9">
        <f t="shared" si="44"/>
        <v>897630</v>
      </c>
      <c r="Q440" s="9">
        <f t="shared" si="44"/>
        <v>0</v>
      </c>
      <c r="R440" s="9">
        <f t="shared" si="44"/>
        <v>393841.42</v>
      </c>
      <c r="S440" s="9">
        <f t="shared" si="44"/>
        <v>0</v>
      </c>
      <c r="T440" s="9">
        <f t="shared" si="44"/>
        <v>0</v>
      </c>
      <c r="U440" s="9">
        <f t="shared" si="44"/>
        <v>-43804.18</v>
      </c>
      <c r="V440" s="9">
        <f t="shared" si="44"/>
        <v>0</v>
      </c>
      <c r="W440" s="9">
        <f t="shared" si="44"/>
        <v>1922867.24</v>
      </c>
      <c r="X440" s="40">
        <f t="shared" si="41"/>
        <v>230049.99999999977</v>
      </c>
    </row>
    <row r="441" spans="2:24" ht="15.75">
      <c r="B441" s="291"/>
      <c r="C441" s="291"/>
      <c r="D441" s="300"/>
      <c r="E441" s="91" t="s">
        <v>352</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41"/>
        <v>0</v>
      </c>
    </row>
    <row r="442" spans="2:24" ht="47.25">
      <c r="B442" s="291"/>
      <c r="C442" s="291"/>
      <c r="D442" s="300"/>
      <c r="E442" s="91" t="s">
        <v>613</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41"/>
        <v>0</v>
      </c>
    </row>
    <row r="443" spans="2:24" ht="15.75">
      <c r="B443" s="291"/>
      <c r="C443" s="291"/>
      <c r="D443" s="300"/>
      <c r="E443" s="91" t="s">
        <v>614</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41"/>
        <v>0</v>
      </c>
    </row>
    <row r="444" spans="2:24" ht="15.75">
      <c r="B444" s="291"/>
      <c r="C444" s="291"/>
      <c r="D444" s="300"/>
      <c r="E444" s="91" t="s">
        <v>615</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41"/>
        <v>0</v>
      </c>
    </row>
    <row r="445" spans="2:24" ht="15.75">
      <c r="B445" s="291"/>
      <c r="C445" s="291"/>
      <c r="D445" s="300"/>
      <c r="E445" s="91" t="s">
        <v>553</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41"/>
        <v>0</v>
      </c>
    </row>
    <row r="446" spans="2:24" ht="31.5" hidden="1">
      <c r="B446" s="291"/>
      <c r="C446" s="291"/>
      <c r="D446" s="300"/>
      <c r="E446" s="91" t="s">
        <v>554</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41"/>
        <v>0</v>
      </c>
    </row>
    <row r="447" spans="2:24" ht="15.75">
      <c r="B447" s="291"/>
      <c r="C447" s="291"/>
      <c r="D447" s="300"/>
      <c r="E447" s="92" t="s">
        <v>772</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f>
        <v>0</v>
      </c>
      <c r="X447" s="40">
        <f t="shared" si="41"/>
        <v>230050</v>
      </c>
    </row>
    <row r="448" spans="2:24" ht="15.75">
      <c r="B448" s="291"/>
      <c r="C448" s="291"/>
      <c r="D448" s="300"/>
      <c r="E448" s="92" t="s">
        <v>555</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41"/>
        <v>0</v>
      </c>
    </row>
    <row r="449" spans="2:24" ht="15.75">
      <c r="B449" s="291"/>
      <c r="C449" s="291"/>
      <c r="D449" s="300"/>
      <c r="E449" s="92" t="s">
        <v>556</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41"/>
        <v>0</v>
      </c>
    </row>
    <row r="450" spans="2:24" ht="47.25">
      <c r="B450" s="291"/>
      <c r="C450" s="291"/>
      <c r="D450" s="300"/>
      <c r="E450" s="93" t="s">
        <v>403</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41"/>
        <v>0</v>
      </c>
    </row>
    <row r="451" spans="2:24" ht="63">
      <c r="B451" s="291"/>
      <c r="C451" s="291"/>
      <c r="D451" s="300"/>
      <c r="E451" s="93" t="s">
        <v>5</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41"/>
        <v>0</v>
      </c>
    </row>
    <row r="452" spans="2:24" ht="47.25">
      <c r="B452" s="291"/>
      <c r="C452" s="291"/>
      <c r="D452" s="300"/>
      <c r="E452" s="93" t="s">
        <v>174</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41"/>
        <v>0</v>
      </c>
    </row>
    <row r="453" spans="2:24" ht="31.5">
      <c r="B453" s="291"/>
      <c r="C453" s="291"/>
      <c r="D453" s="300"/>
      <c r="E453" s="93" t="s">
        <v>175</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41"/>
        <v>0</v>
      </c>
    </row>
    <row r="454" spans="2:24" ht="110.25">
      <c r="B454" s="291"/>
      <c r="C454" s="291"/>
      <c r="D454" s="300"/>
      <c r="E454" s="88" t="s">
        <v>676</v>
      </c>
      <c r="F454" s="49">
        <v>67860</v>
      </c>
      <c r="G454" s="18">
        <f aca="true" t="shared" si="45"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f>
        <v>36057.8</v>
      </c>
      <c r="X454" s="40">
        <f t="shared" si="41"/>
        <v>31802.199999999997</v>
      </c>
    </row>
    <row r="455" spans="2:24" ht="47.25">
      <c r="B455" s="291"/>
      <c r="C455" s="291"/>
      <c r="D455" s="300"/>
      <c r="E455" s="88" t="s">
        <v>677</v>
      </c>
      <c r="F455" s="49">
        <v>338300</v>
      </c>
      <c r="G455" s="18">
        <f t="shared" si="45"/>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f>
        <v>312892.80000000005</v>
      </c>
      <c r="X455" s="40">
        <f t="shared" si="41"/>
        <v>18107.199999999953</v>
      </c>
    </row>
    <row r="456" spans="2:24" ht="63">
      <c r="B456" s="291"/>
      <c r="C456" s="291"/>
      <c r="D456" s="300"/>
      <c r="E456" s="88" t="s">
        <v>678</v>
      </c>
      <c r="F456" s="49">
        <v>2175684</v>
      </c>
      <c r="G456" s="18">
        <f t="shared" si="45"/>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41"/>
        <v>462985.64</v>
      </c>
    </row>
    <row r="457" spans="2:24" ht="63" hidden="1">
      <c r="B457" s="291"/>
      <c r="C457" s="291"/>
      <c r="D457" s="300"/>
      <c r="E457" s="88" t="s">
        <v>679</v>
      </c>
      <c r="F457" s="49">
        <v>955000</v>
      </c>
      <c r="G457" s="18">
        <f t="shared" si="45"/>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41"/>
        <v>0</v>
      </c>
    </row>
    <row r="458" spans="2:24" ht="78.75">
      <c r="B458" s="291"/>
      <c r="C458" s="291"/>
      <c r="D458" s="300"/>
      <c r="E458" s="88" t="s">
        <v>717</v>
      </c>
      <c r="F458" s="49">
        <v>67860</v>
      </c>
      <c r="G458" s="18">
        <f t="shared" si="45"/>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41"/>
        <v>0</v>
      </c>
    </row>
    <row r="459" spans="2:24" ht="63">
      <c r="B459" s="291"/>
      <c r="C459" s="291"/>
      <c r="D459" s="300"/>
      <c r="E459" s="88" t="s">
        <v>112</v>
      </c>
      <c r="F459" s="49">
        <v>33930</v>
      </c>
      <c r="G459" s="18">
        <f t="shared" si="45"/>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41"/>
        <v>14</v>
      </c>
    </row>
    <row r="460" spans="2:24" ht="63">
      <c r="B460" s="291"/>
      <c r="C460" s="291"/>
      <c r="D460" s="300"/>
      <c r="E460" s="88" t="s">
        <v>726</v>
      </c>
      <c r="F460" s="49">
        <v>800</v>
      </c>
      <c r="G460" s="18">
        <f t="shared" si="45"/>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41"/>
        <v>39547.25</v>
      </c>
    </row>
    <row r="461" spans="2:24" ht="68.25" customHeight="1" hidden="1">
      <c r="B461" s="291"/>
      <c r="C461" s="291"/>
      <c r="D461" s="300"/>
      <c r="E461" s="286" t="s">
        <v>591</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41"/>
        <v>0</v>
      </c>
    </row>
    <row r="462" spans="2:24" ht="68.25" customHeight="1" hidden="1">
      <c r="B462" s="291"/>
      <c r="C462" s="291"/>
      <c r="D462" s="300"/>
      <c r="E462" s="286" t="s">
        <v>346</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41"/>
        <v>0</v>
      </c>
    </row>
    <row r="463" spans="2:24" ht="94.5">
      <c r="B463" s="291"/>
      <c r="C463" s="291"/>
      <c r="D463" s="300"/>
      <c r="E463" s="88" t="s">
        <v>490</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41"/>
        <v>354592.68000000005</v>
      </c>
    </row>
    <row r="464" spans="2:24" ht="68.25" customHeight="1">
      <c r="B464" s="291"/>
      <c r="C464" s="291"/>
      <c r="D464" s="300"/>
      <c r="E464" s="88" t="s">
        <v>395</v>
      </c>
      <c r="F464" s="49"/>
      <c r="G464" s="18"/>
      <c r="H464" s="220"/>
      <c r="I464" s="255">
        <v>3132</v>
      </c>
      <c r="J464" s="49">
        <v>161800</v>
      </c>
      <c r="K464" s="49"/>
      <c r="L464" s="49"/>
      <c r="M464" s="49"/>
      <c r="N464" s="49"/>
      <c r="O464" s="49"/>
      <c r="P464" s="49"/>
      <c r="Q464" s="49"/>
      <c r="R464" s="49"/>
      <c r="S464" s="49">
        <v>161800</v>
      </c>
      <c r="T464" s="49"/>
      <c r="U464" s="49"/>
      <c r="V464" s="49"/>
      <c r="W464" s="49"/>
      <c r="X464" s="40">
        <f t="shared" si="41"/>
        <v>161800</v>
      </c>
    </row>
    <row r="465" spans="2:24" ht="31.5">
      <c r="B465" s="291"/>
      <c r="C465" s="291"/>
      <c r="D465" s="300"/>
      <c r="E465" s="88" t="s">
        <v>479</v>
      </c>
      <c r="F465" s="49"/>
      <c r="G465" s="18"/>
      <c r="H465" s="220"/>
      <c r="I465" s="255">
        <v>3110</v>
      </c>
      <c r="J465" s="49">
        <v>110000</v>
      </c>
      <c r="K465" s="49"/>
      <c r="L465" s="49"/>
      <c r="M465" s="49"/>
      <c r="N465" s="49"/>
      <c r="O465" s="49"/>
      <c r="P465" s="49"/>
      <c r="Q465" s="49"/>
      <c r="R465" s="49"/>
      <c r="S465" s="49"/>
      <c r="T465" s="49"/>
      <c r="U465" s="49">
        <v>110000</v>
      </c>
      <c r="V465" s="49"/>
      <c r="W465" s="49"/>
      <c r="X465" s="40">
        <f t="shared" si="41"/>
        <v>110000</v>
      </c>
    </row>
    <row r="466" spans="2:24" ht="68.25" customHeight="1">
      <c r="B466" s="291"/>
      <c r="C466" s="291"/>
      <c r="D466" s="300"/>
      <c r="E466" s="88" t="s">
        <v>396</v>
      </c>
      <c r="F466" s="49"/>
      <c r="G466" s="18"/>
      <c r="H466" s="220"/>
      <c r="I466" s="255">
        <v>3132</v>
      </c>
      <c r="J466" s="49">
        <v>746000</v>
      </c>
      <c r="K466" s="49"/>
      <c r="L466" s="49"/>
      <c r="M466" s="49"/>
      <c r="N466" s="49"/>
      <c r="O466" s="49"/>
      <c r="P466" s="49"/>
      <c r="Q466" s="49"/>
      <c r="R466" s="49"/>
      <c r="S466" s="49">
        <v>746000</v>
      </c>
      <c r="T466" s="49"/>
      <c r="U466" s="49"/>
      <c r="V466" s="49"/>
      <c r="W466" s="49">
        <f>218263.68+138383.7+13575.5</f>
        <v>370222.88</v>
      </c>
      <c r="X466" s="40">
        <f t="shared" si="41"/>
        <v>375777.12</v>
      </c>
    </row>
    <row r="467" spans="2:24" ht="31.5">
      <c r="B467" s="292"/>
      <c r="C467" s="292"/>
      <c r="D467" s="301"/>
      <c r="E467" s="88" t="s">
        <v>109</v>
      </c>
      <c r="F467" s="49"/>
      <c r="G467" s="18"/>
      <c r="H467" s="220"/>
      <c r="I467" s="255">
        <v>3110</v>
      </c>
      <c r="J467" s="49">
        <v>650000</v>
      </c>
      <c r="K467" s="49"/>
      <c r="L467" s="49"/>
      <c r="M467" s="49"/>
      <c r="N467" s="49"/>
      <c r="O467" s="49"/>
      <c r="P467" s="49"/>
      <c r="Q467" s="49"/>
      <c r="R467" s="49">
        <v>650000</v>
      </c>
      <c r="S467" s="49"/>
      <c r="T467" s="49"/>
      <c r="U467" s="49"/>
      <c r="V467" s="49"/>
      <c r="W467" s="49"/>
      <c r="X467" s="40">
        <f t="shared" si="41"/>
        <v>650000</v>
      </c>
    </row>
    <row r="468" spans="2:24" ht="15.75">
      <c r="B468" s="290" t="s">
        <v>208</v>
      </c>
      <c r="C468" s="290" t="s">
        <v>879</v>
      </c>
      <c r="D468" s="299" t="s">
        <v>878</v>
      </c>
      <c r="E468" s="94"/>
      <c r="F468" s="76"/>
      <c r="G468" s="99"/>
      <c r="H468" s="224"/>
      <c r="I468" s="255"/>
      <c r="J468" s="211">
        <f>J469+J470+J471+J472+J473+J474+J475+J476+J478+J477</f>
        <v>3362167.21</v>
      </c>
      <c r="K468" s="211">
        <f aca="true" t="shared" si="46" ref="K468:W468">K469+K470+K471+K472+K473+K474+K475+K476+K478+K477</f>
        <v>0</v>
      </c>
      <c r="L468" s="211">
        <f t="shared" si="46"/>
        <v>223334.82</v>
      </c>
      <c r="M468" s="211">
        <f t="shared" si="46"/>
        <v>0</v>
      </c>
      <c r="N468" s="211">
        <f t="shared" si="46"/>
        <v>0</v>
      </c>
      <c r="O468" s="211">
        <f t="shared" si="46"/>
        <v>153500</v>
      </c>
      <c r="P468" s="211">
        <f t="shared" si="46"/>
        <v>538446</v>
      </c>
      <c r="Q468" s="211">
        <f t="shared" si="46"/>
        <v>345000</v>
      </c>
      <c r="R468" s="211">
        <f t="shared" si="46"/>
        <v>1647278.69</v>
      </c>
      <c r="S468" s="211">
        <f t="shared" si="46"/>
        <v>380958</v>
      </c>
      <c r="T468" s="211">
        <f t="shared" si="46"/>
        <v>0</v>
      </c>
      <c r="U468" s="211">
        <f t="shared" si="46"/>
        <v>73649.7</v>
      </c>
      <c r="V468" s="211">
        <f t="shared" si="46"/>
        <v>0</v>
      </c>
      <c r="W468" s="211">
        <f t="shared" si="46"/>
        <v>2620851.12</v>
      </c>
      <c r="X468" s="40">
        <f t="shared" si="41"/>
        <v>741316.0899999999</v>
      </c>
    </row>
    <row r="469" spans="2:24" ht="94.5">
      <c r="B469" s="291"/>
      <c r="C469" s="291"/>
      <c r="D469" s="300"/>
      <c r="E469" s="94" t="s">
        <v>337</v>
      </c>
      <c r="F469" s="76">
        <v>223334.82</v>
      </c>
      <c r="G469" s="18">
        <f aca="true" t="shared" si="47"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1"/>
        <v>0</v>
      </c>
    </row>
    <row r="470" spans="2:24" ht="78.75">
      <c r="B470" s="291"/>
      <c r="C470" s="291"/>
      <c r="D470" s="300"/>
      <c r="E470" s="95" t="s">
        <v>727</v>
      </c>
      <c r="F470" s="76">
        <v>101790</v>
      </c>
      <c r="G470" s="18">
        <f t="shared" si="47"/>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1"/>
        <v>0</v>
      </c>
    </row>
    <row r="471" spans="2:24" ht="94.5" hidden="1">
      <c r="B471" s="291"/>
      <c r="C471" s="291"/>
      <c r="D471" s="300"/>
      <c r="E471" s="95" t="s">
        <v>650</v>
      </c>
      <c r="F471" s="76">
        <v>160000</v>
      </c>
      <c r="G471" s="18">
        <f t="shared" si="47"/>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1"/>
        <v>0</v>
      </c>
    </row>
    <row r="472" spans="2:24" ht="94.5" hidden="1">
      <c r="B472" s="291"/>
      <c r="C472" s="291"/>
      <c r="D472" s="300"/>
      <c r="E472" s="95" t="s">
        <v>711</v>
      </c>
      <c r="F472" s="76">
        <v>180000</v>
      </c>
      <c r="G472" s="18">
        <f t="shared" si="47"/>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1"/>
        <v>0</v>
      </c>
    </row>
    <row r="473" spans="2:24" ht="94.5" hidden="1">
      <c r="B473" s="291"/>
      <c r="C473" s="291"/>
      <c r="D473" s="300"/>
      <c r="E473" s="95" t="s">
        <v>42</v>
      </c>
      <c r="F473" s="76">
        <v>180000</v>
      </c>
      <c r="G473" s="18">
        <f t="shared" si="47"/>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1"/>
        <v>0</v>
      </c>
    </row>
    <row r="474" spans="2:24" ht="78.75" hidden="1">
      <c r="B474" s="291"/>
      <c r="C474" s="291"/>
      <c r="D474" s="300"/>
      <c r="E474" s="95" t="s">
        <v>543</v>
      </c>
      <c r="F474" s="76">
        <v>375000</v>
      </c>
      <c r="G474" s="18">
        <f t="shared" si="47"/>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1"/>
        <v>0</v>
      </c>
    </row>
    <row r="475" spans="2:24" ht="94.5" hidden="1">
      <c r="B475" s="291"/>
      <c r="C475" s="291"/>
      <c r="D475" s="300"/>
      <c r="E475" s="95" t="s">
        <v>2</v>
      </c>
      <c r="F475" s="76">
        <v>78858</v>
      </c>
      <c r="G475" s="18">
        <f t="shared" si="47"/>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1"/>
        <v>0</v>
      </c>
    </row>
    <row r="476" spans="2:24" ht="94.5">
      <c r="B476" s="291"/>
      <c r="C476" s="291"/>
      <c r="D476" s="300"/>
      <c r="E476" s="95" t="s">
        <v>384</v>
      </c>
      <c r="F476" s="76">
        <v>475000</v>
      </c>
      <c r="G476" s="18">
        <f t="shared" si="47"/>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1"/>
        <v>4112.399999999907</v>
      </c>
    </row>
    <row r="477" spans="2:24" ht="78.75">
      <c r="B477" s="291"/>
      <c r="C477" s="291"/>
      <c r="D477" s="300"/>
      <c r="E477" s="95" t="s">
        <v>315</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1"/>
        <v>12494.889999999898</v>
      </c>
    </row>
    <row r="478" spans="2:24" ht="47.25">
      <c r="B478" s="291"/>
      <c r="C478" s="291"/>
      <c r="D478" s="300"/>
      <c r="E478" s="95" t="s">
        <v>79</v>
      </c>
      <c r="F478" s="76"/>
      <c r="G478" s="18"/>
      <c r="H478" s="224"/>
      <c r="I478" s="255"/>
      <c r="J478" s="49">
        <f>SUM(J479:J493)</f>
        <v>1202800</v>
      </c>
      <c r="K478" s="49">
        <f aca="true" t="shared" si="48" ref="K478:W478">SUM(K479:K493)</f>
        <v>0</v>
      </c>
      <c r="L478" s="49">
        <f t="shared" si="48"/>
        <v>0</v>
      </c>
      <c r="M478" s="49">
        <f t="shared" si="48"/>
        <v>0</v>
      </c>
      <c r="N478" s="49">
        <f t="shared" si="48"/>
        <v>0</v>
      </c>
      <c r="O478" s="49">
        <f t="shared" si="48"/>
        <v>10000</v>
      </c>
      <c r="P478" s="49">
        <f t="shared" si="48"/>
        <v>36120</v>
      </c>
      <c r="Q478" s="49">
        <f t="shared" si="48"/>
        <v>0</v>
      </c>
      <c r="R478" s="49">
        <f t="shared" si="48"/>
        <v>1076680</v>
      </c>
      <c r="S478" s="49">
        <f t="shared" si="48"/>
        <v>0</v>
      </c>
      <c r="T478" s="49">
        <f t="shared" si="48"/>
        <v>0</v>
      </c>
      <c r="U478" s="49">
        <f t="shared" si="48"/>
        <v>80000</v>
      </c>
      <c r="V478" s="49">
        <f t="shared" si="48"/>
        <v>0</v>
      </c>
      <c r="W478" s="49">
        <f t="shared" si="48"/>
        <v>478091.2</v>
      </c>
      <c r="X478" s="40">
        <f t="shared" si="41"/>
        <v>724708.8</v>
      </c>
    </row>
    <row r="479" spans="2:24" ht="31.5">
      <c r="B479" s="291"/>
      <c r="C479" s="291"/>
      <c r="D479" s="300"/>
      <c r="E479" s="96" t="s">
        <v>80</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1"/>
        <v>0</v>
      </c>
    </row>
    <row r="480" spans="2:24" ht="15.75" hidden="1">
      <c r="B480" s="291"/>
      <c r="C480" s="291"/>
      <c r="D480" s="300"/>
      <c r="E480" s="96" t="s">
        <v>81</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1"/>
        <v>0</v>
      </c>
    </row>
    <row r="481" spans="2:24" ht="15.75" hidden="1">
      <c r="B481" s="291"/>
      <c r="C481" s="291"/>
      <c r="D481" s="300"/>
      <c r="E481" s="96" t="s">
        <v>82</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1"/>
        <v>0</v>
      </c>
    </row>
    <row r="482" spans="2:24" ht="15.75">
      <c r="B482" s="291"/>
      <c r="C482" s="291"/>
      <c r="D482" s="300"/>
      <c r="E482" s="96" t="s">
        <v>83</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1"/>
        <v>470000</v>
      </c>
    </row>
    <row r="483" spans="2:24" ht="15.75" hidden="1">
      <c r="B483" s="291"/>
      <c r="C483" s="291"/>
      <c r="D483" s="300"/>
      <c r="E483" s="96" t="s">
        <v>84</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1"/>
        <v>0</v>
      </c>
    </row>
    <row r="484" spans="2:24" ht="15.75" hidden="1">
      <c r="B484" s="291"/>
      <c r="C484" s="291"/>
      <c r="D484" s="300"/>
      <c r="E484" s="96" t="s">
        <v>85</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1"/>
        <v>0</v>
      </c>
    </row>
    <row r="485" spans="2:24" ht="15.75" hidden="1">
      <c r="B485" s="291"/>
      <c r="C485" s="291"/>
      <c r="D485" s="300"/>
      <c r="E485" s="96" t="s">
        <v>86</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1"/>
        <v>0</v>
      </c>
    </row>
    <row r="486" spans="2:24" ht="15.75">
      <c r="B486" s="291"/>
      <c r="C486" s="291"/>
      <c r="D486" s="300"/>
      <c r="E486" s="96" t="s">
        <v>87</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1"/>
        <v>96708.8</v>
      </c>
    </row>
    <row r="487" spans="2:24" ht="15.75">
      <c r="B487" s="291"/>
      <c r="C487" s="291"/>
      <c r="D487" s="300"/>
      <c r="E487" s="96" t="s">
        <v>88</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aca="true" t="shared" si="49" ref="X487:X551">K487+L487+M487+N487+O487+P487+Q487+R487+S487+T487+U487-W487</f>
        <v>0</v>
      </c>
    </row>
    <row r="488" spans="2:24" ht="31.5" hidden="1">
      <c r="B488" s="291"/>
      <c r="C488" s="291"/>
      <c r="D488" s="300"/>
      <c r="E488" s="96" t="s">
        <v>89</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9"/>
        <v>0</v>
      </c>
    </row>
    <row r="489" spans="2:24" ht="15.75">
      <c r="B489" s="291"/>
      <c r="C489" s="291"/>
      <c r="D489" s="300"/>
      <c r="E489" s="96" t="s">
        <v>90</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9"/>
        <v>45000</v>
      </c>
    </row>
    <row r="490" spans="2:24" ht="15.75">
      <c r="B490" s="291"/>
      <c r="C490" s="291"/>
      <c r="D490" s="300"/>
      <c r="E490" s="96" t="s">
        <v>103</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9"/>
        <v>83000</v>
      </c>
    </row>
    <row r="491" spans="2:24" ht="15.75" hidden="1">
      <c r="B491" s="291"/>
      <c r="C491" s="291"/>
      <c r="D491" s="300"/>
      <c r="E491" s="96" t="s">
        <v>91</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9"/>
        <v>0</v>
      </c>
    </row>
    <row r="492" spans="2:24" ht="15.75">
      <c r="B492" s="291"/>
      <c r="C492" s="291"/>
      <c r="D492" s="300"/>
      <c r="E492" s="96" t="s">
        <v>92</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9"/>
        <v>0</v>
      </c>
    </row>
    <row r="493" spans="2:24" ht="31.5">
      <c r="B493" s="292"/>
      <c r="C493" s="292"/>
      <c r="D493" s="301"/>
      <c r="E493" s="96" t="s">
        <v>724</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9"/>
        <v>30000</v>
      </c>
    </row>
    <row r="494" spans="2:24" ht="15.75">
      <c r="B494" s="290" t="s">
        <v>209</v>
      </c>
      <c r="C494" s="290" t="s">
        <v>880</v>
      </c>
      <c r="D494" s="299" t="s">
        <v>275</v>
      </c>
      <c r="E494" s="94"/>
      <c r="F494" s="76"/>
      <c r="G494" s="99"/>
      <c r="H494" s="224"/>
      <c r="I494" s="255"/>
      <c r="J494" s="211">
        <f>J495+J499+J502+J503+J507+J512+J513+J522+J525+J504+J520+J523+J519+J521+J505+J506+J524</f>
        <v>6117437.25</v>
      </c>
      <c r="K494" s="211">
        <f aca="true" t="shared" si="50" ref="K494:W494">K495+K499+K502+K503+K507+K512+K513+K522+K525+K504+K520+K523+K519+K521+K505+K506+K524</f>
        <v>0</v>
      </c>
      <c r="L494" s="211">
        <f t="shared" si="50"/>
        <v>703098.3200000001</v>
      </c>
      <c r="M494" s="211">
        <f t="shared" si="50"/>
        <v>3939</v>
      </c>
      <c r="N494" s="211">
        <f t="shared" si="50"/>
        <v>0</v>
      </c>
      <c r="O494" s="211">
        <f t="shared" si="50"/>
        <v>326622</v>
      </c>
      <c r="P494" s="211">
        <f t="shared" si="50"/>
        <v>200000</v>
      </c>
      <c r="Q494" s="211">
        <f t="shared" si="50"/>
        <v>350000</v>
      </c>
      <c r="R494" s="211">
        <f t="shared" si="50"/>
        <v>1449883.84</v>
      </c>
      <c r="S494" s="211">
        <f t="shared" si="50"/>
        <v>3330805.99</v>
      </c>
      <c r="T494" s="211">
        <f t="shared" si="50"/>
        <v>748046.4</v>
      </c>
      <c r="U494" s="211">
        <f t="shared" si="50"/>
        <v>-994958.3</v>
      </c>
      <c r="V494" s="211">
        <f t="shared" si="50"/>
        <v>0</v>
      </c>
      <c r="W494" s="211">
        <f t="shared" si="50"/>
        <v>3798162.439999999</v>
      </c>
      <c r="X494" s="184">
        <f t="shared" si="49"/>
        <v>2319274.810000002</v>
      </c>
    </row>
    <row r="495" spans="2:24" ht="47.25">
      <c r="B495" s="291"/>
      <c r="C495" s="291"/>
      <c r="D495" s="300"/>
      <c r="E495" s="10" t="s">
        <v>344</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9"/>
        <v>0</v>
      </c>
    </row>
    <row r="496" spans="2:24" ht="47.25">
      <c r="B496" s="291"/>
      <c r="C496" s="291"/>
      <c r="D496" s="300"/>
      <c r="E496" s="11" t="s">
        <v>345</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9"/>
        <v>0</v>
      </c>
    </row>
    <row r="497" spans="2:24" ht="47.25">
      <c r="B497" s="291"/>
      <c r="C497" s="291"/>
      <c r="D497" s="300"/>
      <c r="E497" s="11" t="s">
        <v>472</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9"/>
        <v>0</v>
      </c>
    </row>
    <row r="498" spans="2:24" ht="47.25">
      <c r="B498" s="291"/>
      <c r="C498" s="291"/>
      <c r="D498" s="300"/>
      <c r="E498" s="11" t="s">
        <v>43</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9"/>
        <v>0</v>
      </c>
    </row>
    <row r="499" spans="2:24" ht="31.5">
      <c r="B499" s="291"/>
      <c r="C499" s="291"/>
      <c r="D499" s="300"/>
      <c r="E499" s="10" t="s">
        <v>44</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9"/>
        <v>0</v>
      </c>
    </row>
    <row r="500" spans="2:24" ht="47.25">
      <c r="B500" s="291"/>
      <c r="C500" s="291"/>
      <c r="D500" s="300"/>
      <c r="E500" s="11" t="s">
        <v>472</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9"/>
        <v>0</v>
      </c>
    </row>
    <row r="501" spans="2:24" ht="47.25">
      <c r="B501" s="291"/>
      <c r="C501" s="291"/>
      <c r="D501" s="300"/>
      <c r="E501" s="11" t="s">
        <v>43</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9"/>
        <v>0</v>
      </c>
    </row>
    <row r="502" spans="2:24" ht="110.25">
      <c r="B502" s="291"/>
      <c r="C502" s="291"/>
      <c r="D502" s="300"/>
      <c r="E502" s="10" t="s">
        <v>804</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9"/>
        <v>0</v>
      </c>
    </row>
    <row r="503" spans="2:24" ht="63">
      <c r="B503" s="291"/>
      <c r="C503" s="291"/>
      <c r="D503" s="300"/>
      <c r="E503" s="24" t="s">
        <v>805</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9"/>
        <v>0</v>
      </c>
    </row>
    <row r="504" spans="2:24" ht="94.5">
      <c r="B504" s="291"/>
      <c r="C504" s="291"/>
      <c r="D504" s="300"/>
      <c r="E504" s="24" t="s">
        <v>247</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9"/>
        <v>0</v>
      </c>
    </row>
    <row r="505" spans="2:24" ht="78.75">
      <c r="B505" s="291"/>
      <c r="C505" s="291"/>
      <c r="D505" s="300"/>
      <c r="E505" s="24" t="s">
        <v>397</v>
      </c>
      <c r="F505" s="49"/>
      <c r="G505" s="50"/>
      <c r="H505" s="220"/>
      <c r="I505" s="255">
        <v>3110</v>
      </c>
      <c r="J505" s="9">
        <v>290000</v>
      </c>
      <c r="K505" s="49"/>
      <c r="L505" s="9"/>
      <c r="M505" s="49"/>
      <c r="N505" s="49"/>
      <c r="O505" s="49"/>
      <c r="P505" s="49"/>
      <c r="Q505" s="49"/>
      <c r="R505" s="49"/>
      <c r="S505" s="49">
        <v>290000</v>
      </c>
      <c r="T505" s="49"/>
      <c r="U505" s="49"/>
      <c r="V505" s="49"/>
      <c r="W505" s="9"/>
      <c r="X505" s="40">
        <f t="shared" si="49"/>
        <v>290000</v>
      </c>
    </row>
    <row r="506" spans="2:24" ht="47.25">
      <c r="B506" s="291"/>
      <c r="C506" s="291"/>
      <c r="D506" s="300"/>
      <c r="E506" s="24" t="s">
        <v>398</v>
      </c>
      <c r="F506" s="49"/>
      <c r="G506" s="50"/>
      <c r="H506" s="220"/>
      <c r="I506" s="255">
        <v>3132</v>
      </c>
      <c r="J506" s="9">
        <v>595764</v>
      </c>
      <c r="K506" s="49"/>
      <c r="L506" s="9"/>
      <c r="M506" s="49"/>
      <c r="N506" s="49"/>
      <c r="O506" s="49"/>
      <c r="P506" s="49"/>
      <c r="Q506" s="49"/>
      <c r="R506" s="49"/>
      <c r="S506" s="49">
        <v>595764</v>
      </c>
      <c r="T506" s="49"/>
      <c r="U506" s="49"/>
      <c r="V506" s="49"/>
      <c r="W506" s="9">
        <f>173696.76+5400+282500.54</f>
        <v>461597.3</v>
      </c>
      <c r="X506" s="40">
        <f t="shared" si="49"/>
        <v>134166.7</v>
      </c>
    </row>
    <row r="507" spans="2:24" ht="47.25">
      <c r="B507" s="291"/>
      <c r="C507" s="291"/>
      <c r="D507" s="300"/>
      <c r="E507" s="88" t="s">
        <v>377</v>
      </c>
      <c r="F507" s="40"/>
      <c r="G507" s="40"/>
      <c r="H507" s="225"/>
      <c r="I507" s="255"/>
      <c r="J507" s="49">
        <f>SUM(J508:J511)</f>
        <v>1218664</v>
      </c>
      <c r="K507" s="49">
        <f aca="true" t="shared" si="51" ref="K507:W507">SUM(K508:K511)</f>
        <v>0</v>
      </c>
      <c r="L507" s="49">
        <f t="shared" si="51"/>
        <v>0</v>
      </c>
      <c r="M507" s="49">
        <f t="shared" si="51"/>
        <v>0</v>
      </c>
      <c r="N507" s="49">
        <f t="shared" si="51"/>
        <v>0</v>
      </c>
      <c r="O507" s="49">
        <f t="shared" si="51"/>
        <v>59375</v>
      </c>
      <c r="P507" s="49">
        <f t="shared" si="51"/>
        <v>0</v>
      </c>
      <c r="Q507" s="49">
        <f t="shared" si="51"/>
        <v>0</v>
      </c>
      <c r="R507" s="49">
        <f t="shared" si="51"/>
        <v>613070</v>
      </c>
      <c r="S507" s="49">
        <f t="shared" si="51"/>
        <v>461000</v>
      </c>
      <c r="T507" s="49">
        <f t="shared" si="51"/>
        <v>0</v>
      </c>
      <c r="U507" s="49">
        <f t="shared" si="51"/>
        <v>85219</v>
      </c>
      <c r="V507" s="49">
        <f t="shared" si="51"/>
        <v>0</v>
      </c>
      <c r="W507" s="49">
        <f t="shared" si="51"/>
        <v>1193131.42</v>
      </c>
      <c r="X507" s="40">
        <f t="shared" si="49"/>
        <v>25532.580000000075</v>
      </c>
    </row>
    <row r="508" spans="2:24" ht="15.75">
      <c r="B508" s="291"/>
      <c r="C508" s="291"/>
      <c r="D508" s="300"/>
      <c r="E508" s="89" t="s">
        <v>559</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9"/>
        <v>25437.580000000016</v>
      </c>
    </row>
    <row r="509" spans="2:24" ht="15.75">
      <c r="B509" s="291"/>
      <c r="C509" s="291"/>
      <c r="D509" s="300"/>
      <c r="E509" s="89" t="s">
        <v>560</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9"/>
        <v>95</v>
      </c>
    </row>
    <row r="510" spans="2:24" ht="15.75">
      <c r="B510" s="291"/>
      <c r="C510" s="291"/>
      <c r="D510" s="300"/>
      <c r="E510" s="89" t="s">
        <v>561</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9"/>
        <v>0</v>
      </c>
    </row>
    <row r="511" spans="2:24" ht="15.75">
      <c r="B511" s="291"/>
      <c r="C511" s="291"/>
      <c r="D511" s="300"/>
      <c r="E511" s="89" t="s">
        <v>597</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9"/>
        <v>0</v>
      </c>
    </row>
    <row r="512" spans="2:24" ht="63">
      <c r="B512" s="291"/>
      <c r="C512" s="291"/>
      <c r="D512" s="300"/>
      <c r="E512" s="88" t="s">
        <v>647</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9"/>
        <v>5117.510000000009</v>
      </c>
    </row>
    <row r="513" spans="2:24" ht="15.75">
      <c r="B513" s="291"/>
      <c r="C513" s="291"/>
      <c r="D513" s="300"/>
      <c r="E513" s="88" t="s">
        <v>0</v>
      </c>
      <c r="F513" s="40"/>
      <c r="G513" s="40"/>
      <c r="H513" s="225"/>
      <c r="I513" s="255"/>
      <c r="J513" s="49">
        <f>SUM(J514:J518)</f>
        <v>70845</v>
      </c>
      <c r="K513" s="49">
        <f aca="true" t="shared" si="52" ref="K513:W513">SUM(K514:K518)</f>
        <v>0</v>
      </c>
      <c r="L513" s="49">
        <f t="shared" si="52"/>
        <v>0</v>
      </c>
      <c r="M513" s="49">
        <f t="shared" si="52"/>
        <v>0</v>
      </c>
      <c r="N513" s="49">
        <f t="shared" si="52"/>
        <v>0</v>
      </c>
      <c r="O513" s="49">
        <f t="shared" si="52"/>
        <v>0</v>
      </c>
      <c r="P513" s="49">
        <f t="shared" si="52"/>
        <v>0</v>
      </c>
      <c r="Q513" s="49">
        <f t="shared" si="52"/>
        <v>0</v>
      </c>
      <c r="R513" s="49">
        <f t="shared" si="52"/>
        <v>115361</v>
      </c>
      <c r="S513" s="49">
        <f t="shared" si="52"/>
        <v>0</v>
      </c>
      <c r="T513" s="49">
        <f t="shared" si="52"/>
        <v>0</v>
      </c>
      <c r="U513" s="49">
        <f t="shared" si="52"/>
        <v>-44516</v>
      </c>
      <c r="V513" s="49">
        <f t="shared" si="52"/>
        <v>0</v>
      </c>
      <c r="W513" s="49">
        <f t="shared" si="52"/>
        <v>69146</v>
      </c>
      <c r="X513" s="40">
        <f t="shared" si="49"/>
        <v>1699</v>
      </c>
    </row>
    <row r="514" spans="2:24" ht="31.5">
      <c r="B514" s="291"/>
      <c r="C514" s="291"/>
      <c r="D514" s="300"/>
      <c r="E514" s="97" t="s">
        <v>919</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9"/>
        <v>0</v>
      </c>
    </row>
    <row r="515" spans="2:24" ht="31.5">
      <c r="B515" s="291"/>
      <c r="C515" s="291"/>
      <c r="D515" s="300"/>
      <c r="E515" s="97" t="s">
        <v>920</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9"/>
        <v>944</v>
      </c>
    </row>
    <row r="516" spans="2:24" ht="31.5">
      <c r="B516" s="291"/>
      <c r="C516" s="291"/>
      <c r="D516" s="300"/>
      <c r="E516" s="97" t="s">
        <v>921</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9"/>
        <v>755</v>
      </c>
    </row>
    <row r="517" spans="2:24" ht="31.5" hidden="1">
      <c r="B517" s="291"/>
      <c r="C517" s="291"/>
      <c r="D517" s="300"/>
      <c r="E517" s="97" t="s">
        <v>922</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9"/>
        <v>0</v>
      </c>
    </row>
    <row r="518" spans="2:24" ht="31.5">
      <c r="B518" s="291"/>
      <c r="C518" s="291"/>
      <c r="D518" s="300"/>
      <c r="E518" s="97" t="s">
        <v>923</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9"/>
        <v>0</v>
      </c>
    </row>
    <row r="519" spans="2:24" ht="39.75" customHeight="1">
      <c r="B519" s="291"/>
      <c r="C519" s="291"/>
      <c r="D519" s="300"/>
      <c r="E519" s="98" t="s">
        <v>592</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9"/>
        <v>0</v>
      </c>
    </row>
    <row r="520" spans="2:24" ht="78.75">
      <c r="B520" s="291"/>
      <c r="C520" s="291"/>
      <c r="D520" s="300"/>
      <c r="E520" s="98" t="s">
        <v>924</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f>
        <v>129559.67</v>
      </c>
      <c r="X520" s="40">
        <f t="shared" si="49"/>
        <v>1035006.7299999999</v>
      </c>
    </row>
    <row r="521" spans="2:24" ht="36.75" customHeight="1">
      <c r="B521" s="291"/>
      <c r="C521" s="291"/>
      <c r="D521" s="300"/>
      <c r="E521" s="341" t="s">
        <v>426</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9"/>
        <v>148027.80000000002</v>
      </c>
    </row>
    <row r="522" spans="2:24" ht="31.5" customHeight="1">
      <c r="B522" s="291"/>
      <c r="C522" s="291"/>
      <c r="D522" s="300"/>
      <c r="E522" s="342"/>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9"/>
        <v>0</v>
      </c>
    </row>
    <row r="523" spans="2:24" ht="63">
      <c r="B523" s="291"/>
      <c r="C523" s="291"/>
      <c r="D523" s="300"/>
      <c r="E523" s="88" t="s">
        <v>917</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9"/>
        <v>375.4900000000489</v>
      </c>
    </row>
    <row r="524" spans="2:24" ht="47.25">
      <c r="B524" s="291"/>
      <c r="C524" s="291"/>
      <c r="D524" s="300"/>
      <c r="E524" s="88" t="s">
        <v>399</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9"/>
        <v>679349</v>
      </c>
    </row>
    <row r="525" spans="2:24" ht="78.75">
      <c r="B525" s="292"/>
      <c r="C525" s="292"/>
      <c r="D525" s="301"/>
      <c r="E525" s="88" t="s">
        <v>918</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9"/>
        <v>0</v>
      </c>
    </row>
    <row r="526" spans="2:24" ht="15.75" customHeight="1">
      <c r="B526" s="362" t="s">
        <v>210</v>
      </c>
      <c r="C526" s="362" t="s">
        <v>882</v>
      </c>
      <c r="D526" s="346" t="s">
        <v>881</v>
      </c>
      <c r="E526" s="25"/>
      <c r="F526" s="76"/>
      <c r="G526" s="99"/>
      <c r="H526" s="224"/>
      <c r="I526" s="255"/>
      <c r="J526" s="210">
        <f>J527+J529</f>
        <v>54962</v>
      </c>
      <c r="K526" s="210">
        <f aca="true" t="shared" si="53" ref="K526:W526">K527+K529</f>
        <v>0</v>
      </c>
      <c r="L526" s="210">
        <f t="shared" si="53"/>
        <v>4962</v>
      </c>
      <c r="M526" s="210">
        <f t="shared" si="53"/>
        <v>0</v>
      </c>
      <c r="N526" s="210">
        <f t="shared" si="53"/>
        <v>0</v>
      </c>
      <c r="O526" s="210">
        <f t="shared" si="53"/>
        <v>0</v>
      </c>
      <c r="P526" s="210">
        <f t="shared" si="53"/>
        <v>0</v>
      </c>
      <c r="Q526" s="210">
        <f t="shared" si="53"/>
        <v>0</v>
      </c>
      <c r="R526" s="210">
        <f t="shared" si="53"/>
        <v>0</v>
      </c>
      <c r="S526" s="210">
        <f t="shared" si="53"/>
        <v>50000</v>
      </c>
      <c r="T526" s="210">
        <f t="shared" si="53"/>
        <v>0</v>
      </c>
      <c r="U526" s="210">
        <f t="shared" si="53"/>
        <v>0</v>
      </c>
      <c r="V526" s="210">
        <f t="shared" si="53"/>
        <v>0</v>
      </c>
      <c r="W526" s="210">
        <f t="shared" si="53"/>
        <v>4962</v>
      </c>
      <c r="X526" s="184">
        <f t="shared" si="49"/>
        <v>50000</v>
      </c>
    </row>
    <row r="527" spans="2:24" ht="63">
      <c r="B527" s="291"/>
      <c r="C527" s="291"/>
      <c r="D527" s="300"/>
      <c r="E527" s="10" t="s">
        <v>159</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9"/>
        <v>0</v>
      </c>
    </row>
    <row r="528" spans="2:24" ht="31.5">
      <c r="B528" s="291"/>
      <c r="C528" s="291"/>
      <c r="D528" s="300"/>
      <c r="E528" s="11" t="s">
        <v>750</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9"/>
        <v>0</v>
      </c>
    </row>
    <row r="529" spans="2:24" ht="47.25">
      <c r="B529" s="291"/>
      <c r="C529" s="291"/>
      <c r="D529" s="300"/>
      <c r="E529" s="10" t="s">
        <v>400</v>
      </c>
      <c r="F529" s="76"/>
      <c r="G529" s="99"/>
      <c r="H529" s="224"/>
      <c r="I529" s="255"/>
      <c r="J529" s="9">
        <f>J530</f>
        <v>50000</v>
      </c>
      <c r="K529" s="9">
        <f aca="true" t="shared" si="54" ref="K529:W529">K530</f>
        <v>0</v>
      </c>
      <c r="L529" s="9">
        <f t="shared" si="54"/>
        <v>0</v>
      </c>
      <c r="M529" s="9">
        <f t="shared" si="54"/>
        <v>0</v>
      </c>
      <c r="N529" s="9">
        <f t="shared" si="54"/>
        <v>0</v>
      </c>
      <c r="O529" s="9">
        <f t="shared" si="54"/>
        <v>0</v>
      </c>
      <c r="P529" s="9">
        <f t="shared" si="54"/>
        <v>0</v>
      </c>
      <c r="Q529" s="9">
        <f t="shared" si="54"/>
        <v>0</v>
      </c>
      <c r="R529" s="9">
        <f t="shared" si="54"/>
        <v>0</v>
      </c>
      <c r="S529" s="9">
        <f t="shared" si="54"/>
        <v>50000</v>
      </c>
      <c r="T529" s="9">
        <f t="shared" si="54"/>
        <v>0</v>
      </c>
      <c r="U529" s="9">
        <f t="shared" si="54"/>
        <v>0</v>
      </c>
      <c r="V529" s="9">
        <f t="shared" si="54"/>
        <v>0</v>
      </c>
      <c r="W529" s="9">
        <f t="shared" si="54"/>
        <v>0</v>
      </c>
      <c r="X529" s="40">
        <f t="shared" si="49"/>
        <v>50000</v>
      </c>
    </row>
    <row r="530" spans="2:24" ht="15.75">
      <c r="B530" s="363"/>
      <c r="C530" s="363"/>
      <c r="D530" s="347"/>
      <c r="E530" s="11" t="s">
        <v>401</v>
      </c>
      <c r="F530" s="76"/>
      <c r="G530" s="99"/>
      <c r="H530" s="224"/>
      <c r="I530" s="255">
        <v>3110</v>
      </c>
      <c r="J530" s="9">
        <v>50000</v>
      </c>
      <c r="K530" s="49"/>
      <c r="L530" s="9"/>
      <c r="M530" s="49"/>
      <c r="N530" s="49"/>
      <c r="O530" s="49"/>
      <c r="P530" s="49"/>
      <c r="Q530" s="49"/>
      <c r="R530" s="49"/>
      <c r="S530" s="49">
        <v>50000</v>
      </c>
      <c r="T530" s="49"/>
      <c r="U530" s="49"/>
      <c r="V530" s="49"/>
      <c r="W530" s="49"/>
      <c r="X530" s="40">
        <f t="shared" si="49"/>
        <v>50000</v>
      </c>
    </row>
    <row r="531" spans="2:24" ht="15.75">
      <c r="B531" s="290" t="s">
        <v>883</v>
      </c>
      <c r="C531" s="290" t="s">
        <v>877</v>
      </c>
      <c r="D531" s="299" t="s">
        <v>825</v>
      </c>
      <c r="E531" s="25"/>
      <c r="F531" s="76"/>
      <c r="G531" s="99"/>
      <c r="H531" s="224"/>
      <c r="I531" s="255"/>
      <c r="J531" s="210">
        <f>J532+J535+J533+J534</f>
        <v>2256470.1</v>
      </c>
      <c r="K531" s="210">
        <f aca="true" t="shared" si="55" ref="K531:W531">K532+K535+K533+K534</f>
        <v>0</v>
      </c>
      <c r="L531" s="210">
        <f t="shared" si="55"/>
        <v>102744.1</v>
      </c>
      <c r="M531" s="210">
        <f t="shared" si="55"/>
        <v>0</v>
      </c>
      <c r="N531" s="210">
        <f t="shared" si="55"/>
        <v>0</v>
      </c>
      <c r="O531" s="210">
        <f t="shared" si="55"/>
        <v>6500</v>
      </c>
      <c r="P531" s="210">
        <f t="shared" si="55"/>
        <v>81794</v>
      </c>
      <c r="Q531" s="210">
        <f t="shared" si="55"/>
        <v>260000</v>
      </c>
      <c r="R531" s="210">
        <f t="shared" si="55"/>
        <v>660142</v>
      </c>
      <c r="S531" s="210">
        <f t="shared" si="55"/>
        <v>111810</v>
      </c>
      <c r="T531" s="210">
        <f t="shared" si="55"/>
        <v>0</v>
      </c>
      <c r="U531" s="210">
        <f t="shared" si="55"/>
        <v>1033480</v>
      </c>
      <c r="V531" s="210">
        <f t="shared" si="55"/>
        <v>0</v>
      </c>
      <c r="W531" s="210">
        <f t="shared" si="55"/>
        <v>1601876.08</v>
      </c>
      <c r="X531" s="184">
        <f t="shared" si="49"/>
        <v>654594.02</v>
      </c>
    </row>
    <row r="532" spans="2:24" ht="110.25">
      <c r="B532" s="291"/>
      <c r="C532" s="291"/>
      <c r="D532" s="300"/>
      <c r="E532" s="24" t="s">
        <v>826</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49"/>
        <v>0</v>
      </c>
    </row>
    <row r="533" spans="2:24" ht="47.25">
      <c r="B533" s="291"/>
      <c r="C533" s="291"/>
      <c r="D533" s="300"/>
      <c r="E533" s="24" t="s">
        <v>314</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49"/>
        <v>250850.62</v>
      </c>
    </row>
    <row r="534" spans="2:24" ht="63">
      <c r="B534" s="291"/>
      <c r="C534" s="291"/>
      <c r="D534" s="300"/>
      <c r="E534" s="24" t="s">
        <v>480</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49"/>
        <v>333806.19999999995</v>
      </c>
    </row>
    <row r="535" spans="2:24" ht="94.5">
      <c r="B535" s="292"/>
      <c r="C535" s="292"/>
      <c r="D535" s="301"/>
      <c r="E535" s="95" t="s">
        <v>644</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49"/>
        <v>69937.2</v>
      </c>
    </row>
    <row r="536" spans="2:24" ht="15.75">
      <c r="B536" s="194"/>
      <c r="C536" s="195"/>
      <c r="D536" s="325" t="s">
        <v>926</v>
      </c>
      <c r="E536" s="326"/>
      <c r="F536" s="100"/>
      <c r="G536" s="101"/>
      <c r="H536" s="223"/>
      <c r="I536" s="254"/>
      <c r="J536" s="43">
        <f>J546+J544+J537</f>
        <v>1989920.4</v>
      </c>
      <c r="K536" s="43">
        <f aca="true" t="shared" si="56" ref="K536:W536">K546+K544+K537</f>
        <v>0</v>
      </c>
      <c r="L536" s="43">
        <f t="shared" si="56"/>
        <v>85683.4</v>
      </c>
      <c r="M536" s="43">
        <f t="shared" si="56"/>
        <v>0</v>
      </c>
      <c r="N536" s="43">
        <f t="shared" si="56"/>
        <v>4000</v>
      </c>
      <c r="O536" s="43">
        <f t="shared" si="56"/>
        <v>183800</v>
      </c>
      <c r="P536" s="43">
        <f t="shared" si="56"/>
        <v>350000</v>
      </c>
      <c r="Q536" s="43">
        <f t="shared" si="56"/>
        <v>350000</v>
      </c>
      <c r="R536" s="43">
        <f t="shared" si="56"/>
        <v>957500</v>
      </c>
      <c r="S536" s="43">
        <f t="shared" si="56"/>
        <v>69450</v>
      </c>
      <c r="T536" s="43">
        <f t="shared" si="56"/>
        <v>0</v>
      </c>
      <c r="U536" s="43">
        <f t="shared" si="56"/>
        <v>-10513</v>
      </c>
      <c r="V536" s="43">
        <f t="shared" si="56"/>
        <v>0</v>
      </c>
      <c r="W536" s="43">
        <f t="shared" si="56"/>
        <v>1315751.1</v>
      </c>
      <c r="X536" s="60">
        <f t="shared" si="49"/>
        <v>674169.2999999998</v>
      </c>
    </row>
    <row r="537" spans="2:24" ht="15.75">
      <c r="B537" s="288" t="s">
        <v>69</v>
      </c>
      <c r="C537" s="330" t="s">
        <v>67</v>
      </c>
      <c r="D537" s="299" t="s">
        <v>763</v>
      </c>
      <c r="E537" s="94"/>
      <c r="F537" s="76"/>
      <c r="G537" s="99"/>
      <c r="H537" s="224"/>
      <c r="I537" s="255"/>
      <c r="J537" s="211">
        <f>SUM(J538:J543)</f>
        <v>743000</v>
      </c>
      <c r="K537" s="211">
        <f aca="true" t="shared" si="57" ref="K537:W537">SUM(K538:K543)</f>
        <v>0</v>
      </c>
      <c r="L537" s="211">
        <f t="shared" si="57"/>
        <v>0</v>
      </c>
      <c r="M537" s="211">
        <f t="shared" si="57"/>
        <v>0</v>
      </c>
      <c r="N537" s="211">
        <f t="shared" si="57"/>
        <v>0</v>
      </c>
      <c r="O537" s="211">
        <f t="shared" si="57"/>
        <v>85500</v>
      </c>
      <c r="P537" s="211">
        <f t="shared" si="57"/>
        <v>0</v>
      </c>
      <c r="Q537" s="211">
        <f t="shared" si="57"/>
        <v>0</v>
      </c>
      <c r="R537" s="211">
        <f t="shared" si="57"/>
        <v>657500</v>
      </c>
      <c r="S537" s="211">
        <f t="shared" si="57"/>
        <v>0</v>
      </c>
      <c r="T537" s="211">
        <f t="shared" si="57"/>
        <v>0</v>
      </c>
      <c r="U537" s="211">
        <f t="shared" si="57"/>
        <v>0</v>
      </c>
      <c r="V537" s="211">
        <f t="shared" si="57"/>
        <v>0</v>
      </c>
      <c r="W537" s="211">
        <f t="shared" si="57"/>
        <v>92398</v>
      </c>
      <c r="X537" s="184">
        <f t="shared" si="49"/>
        <v>650602</v>
      </c>
    </row>
    <row r="538" spans="2:24" ht="63">
      <c r="B538" s="289"/>
      <c r="C538" s="331"/>
      <c r="D538" s="300"/>
      <c r="E538" s="94" t="s">
        <v>342</v>
      </c>
      <c r="F538" s="76"/>
      <c r="G538" s="99"/>
      <c r="H538" s="224"/>
      <c r="I538" s="255">
        <v>3110</v>
      </c>
      <c r="J538" s="76">
        <v>204100</v>
      </c>
      <c r="K538" s="49"/>
      <c r="L538" s="49"/>
      <c r="M538" s="49"/>
      <c r="N538" s="49"/>
      <c r="O538" s="49"/>
      <c r="P538" s="49"/>
      <c r="Q538" s="49"/>
      <c r="R538" s="49">
        <v>204100</v>
      </c>
      <c r="S538" s="49"/>
      <c r="T538" s="49"/>
      <c r="U538" s="49"/>
      <c r="V538" s="49"/>
      <c r="W538" s="49"/>
      <c r="X538" s="40">
        <f t="shared" si="49"/>
        <v>204100</v>
      </c>
    </row>
    <row r="539" spans="2:24" ht="63">
      <c r="B539" s="289"/>
      <c r="C539" s="331"/>
      <c r="D539" s="300"/>
      <c r="E539" s="94" t="s">
        <v>343</v>
      </c>
      <c r="F539" s="76"/>
      <c r="G539" s="99"/>
      <c r="H539" s="224"/>
      <c r="I539" s="255">
        <v>3110</v>
      </c>
      <c r="J539" s="76">
        <v>134400</v>
      </c>
      <c r="K539" s="49"/>
      <c r="L539" s="49"/>
      <c r="M539" s="49"/>
      <c r="N539" s="49"/>
      <c r="O539" s="49"/>
      <c r="P539" s="49"/>
      <c r="Q539" s="49"/>
      <c r="R539" s="49">
        <v>134400</v>
      </c>
      <c r="S539" s="49"/>
      <c r="T539" s="49"/>
      <c r="U539" s="49"/>
      <c r="V539" s="49"/>
      <c r="W539" s="49"/>
      <c r="X539" s="40">
        <f t="shared" si="49"/>
        <v>134400</v>
      </c>
    </row>
    <row r="540" spans="2:24" ht="157.5">
      <c r="B540" s="289"/>
      <c r="C540" s="331"/>
      <c r="D540" s="300"/>
      <c r="E540" s="94" t="s">
        <v>551</v>
      </c>
      <c r="F540" s="76"/>
      <c r="G540" s="99"/>
      <c r="H540" s="224"/>
      <c r="I540" s="255">
        <v>3110</v>
      </c>
      <c r="J540" s="76">
        <v>290000</v>
      </c>
      <c r="K540" s="49"/>
      <c r="L540" s="49"/>
      <c r="M540" s="49"/>
      <c r="N540" s="49"/>
      <c r="O540" s="49"/>
      <c r="P540" s="49"/>
      <c r="Q540" s="49"/>
      <c r="R540" s="49">
        <v>290000</v>
      </c>
      <c r="S540" s="49"/>
      <c r="T540" s="49"/>
      <c r="U540" s="49"/>
      <c r="V540" s="49"/>
      <c r="W540" s="49"/>
      <c r="X540" s="40">
        <f t="shared" si="49"/>
        <v>290000</v>
      </c>
    </row>
    <row r="541" spans="2:24" ht="94.5">
      <c r="B541" s="289"/>
      <c r="C541" s="331"/>
      <c r="D541" s="300"/>
      <c r="E541" s="94" t="s">
        <v>896</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49"/>
        <v>22102</v>
      </c>
    </row>
    <row r="542" spans="2:24" ht="47.25">
      <c r="B542" s="289"/>
      <c r="C542" s="331"/>
      <c r="D542" s="300"/>
      <c r="E542" s="94" t="s">
        <v>897</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49"/>
        <v>0</v>
      </c>
    </row>
    <row r="543" spans="2:24" ht="47.25">
      <c r="B543" s="293"/>
      <c r="C543" s="332"/>
      <c r="D543" s="301"/>
      <c r="E543" s="94" t="s">
        <v>898</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49"/>
        <v>0</v>
      </c>
    </row>
    <row r="544" spans="2:24" ht="15.75">
      <c r="B544" s="288" t="s">
        <v>41</v>
      </c>
      <c r="C544" s="288" t="s">
        <v>66</v>
      </c>
      <c r="D544" s="299" t="s">
        <v>40</v>
      </c>
      <c r="E544" s="94"/>
      <c r="F544" s="76"/>
      <c r="G544" s="99"/>
      <c r="H544" s="224"/>
      <c r="I544" s="255"/>
      <c r="J544" s="211">
        <f>J545</f>
        <v>237737</v>
      </c>
      <c r="K544" s="211">
        <f aca="true" t="shared" si="58" ref="K544:W544">K545</f>
        <v>0</v>
      </c>
      <c r="L544" s="211">
        <f t="shared" si="58"/>
        <v>0</v>
      </c>
      <c r="M544" s="211">
        <f t="shared" si="58"/>
        <v>0</v>
      </c>
      <c r="N544" s="211">
        <f t="shared" si="58"/>
        <v>4000</v>
      </c>
      <c r="O544" s="211">
        <f t="shared" si="58"/>
        <v>50000</v>
      </c>
      <c r="P544" s="211">
        <f t="shared" si="58"/>
        <v>50000</v>
      </c>
      <c r="Q544" s="211">
        <f t="shared" si="58"/>
        <v>50000</v>
      </c>
      <c r="R544" s="211">
        <f t="shared" si="58"/>
        <v>50000</v>
      </c>
      <c r="S544" s="211">
        <f t="shared" si="58"/>
        <v>44250</v>
      </c>
      <c r="T544" s="211">
        <f t="shared" si="58"/>
        <v>0</v>
      </c>
      <c r="U544" s="211">
        <f t="shared" si="58"/>
        <v>-10513</v>
      </c>
      <c r="V544" s="211">
        <f t="shared" si="58"/>
        <v>0</v>
      </c>
      <c r="W544" s="211">
        <f t="shared" si="58"/>
        <v>216568.30000000002</v>
      </c>
      <c r="X544" s="184">
        <f t="shared" si="49"/>
        <v>21168.699999999983</v>
      </c>
    </row>
    <row r="545" spans="2:24" ht="78.75">
      <c r="B545" s="293"/>
      <c r="C545" s="293"/>
      <c r="D545" s="301"/>
      <c r="E545" s="145" t="s">
        <v>178</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f>
        <v>216568.30000000002</v>
      </c>
      <c r="X545" s="40">
        <f t="shared" si="49"/>
        <v>21168.699999999983</v>
      </c>
    </row>
    <row r="546" spans="2:24" ht="15.75">
      <c r="B546" s="290" t="s">
        <v>124</v>
      </c>
      <c r="C546" s="290" t="s">
        <v>827</v>
      </c>
      <c r="D546" s="299" t="s">
        <v>473</v>
      </c>
      <c r="E546" s="94"/>
      <c r="F546" s="76"/>
      <c r="G546" s="99"/>
      <c r="H546" s="224"/>
      <c r="I546" s="255"/>
      <c r="J546" s="211">
        <f>SUM(J547:J553)</f>
        <v>1009183.4</v>
      </c>
      <c r="K546" s="211">
        <f aca="true" t="shared" si="59" ref="K546:W546">SUM(K547:K553)</f>
        <v>0</v>
      </c>
      <c r="L546" s="211">
        <f t="shared" si="59"/>
        <v>85683.4</v>
      </c>
      <c r="M546" s="211">
        <f t="shared" si="59"/>
        <v>0</v>
      </c>
      <c r="N546" s="211">
        <f t="shared" si="59"/>
        <v>0</v>
      </c>
      <c r="O546" s="211">
        <f t="shared" si="59"/>
        <v>48300</v>
      </c>
      <c r="P546" s="211">
        <f t="shared" si="59"/>
        <v>300000</v>
      </c>
      <c r="Q546" s="211">
        <f t="shared" si="59"/>
        <v>300000</v>
      </c>
      <c r="R546" s="211">
        <f t="shared" si="59"/>
        <v>250000</v>
      </c>
      <c r="S546" s="211">
        <f t="shared" si="59"/>
        <v>25200</v>
      </c>
      <c r="T546" s="211">
        <f t="shared" si="59"/>
        <v>0</v>
      </c>
      <c r="U546" s="211">
        <f t="shared" si="59"/>
        <v>0</v>
      </c>
      <c r="V546" s="211">
        <f t="shared" si="59"/>
        <v>0</v>
      </c>
      <c r="W546" s="211">
        <f t="shared" si="59"/>
        <v>1006784.8</v>
      </c>
      <c r="X546" s="184">
        <f t="shared" si="49"/>
        <v>2398.5999999999767</v>
      </c>
    </row>
    <row r="547" spans="2:24" ht="94.5">
      <c r="B547" s="291"/>
      <c r="C547" s="291"/>
      <c r="D547" s="300"/>
      <c r="E547" s="27" t="s">
        <v>474</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49"/>
        <v>0</v>
      </c>
    </row>
    <row r="548" spans="2:24" ht="110.25">
      <c r="B548" s="291"/>
      <c r="C548" s="291"/>
      <c r="D548" s="300"/>
      <c r="E548" s="27" t="s">
        <v>141</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49"/>
        <v>5</v>
      </c>
    </row>
    <row r="549" spans="2:24" ht="94.5">
      <c r="B549" s="291"/>
      <c r="C549" s="291"/>
      <c r="D549" s="300"/>
      <c r="E549" s="27" t="s">
        <v>258</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49"/>
        <v>0</v>
      </c>
    </row>
    <row r="550" spans="2:24" ht="78.75">
      <c r="B550" s="291"/>
      <c r="C550" s="291"/>
      <c r="D550" s="300"/>
      <c r="E550" s="27" t="s">
        <v>276</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49"/>
        <v>2309</v>
      </c>
    </row>
    <row r="551" spans="2:24" ht="126">
      <c r="B551" s="291"/>
      <c r="C551" s="291"/>
      <c r="D551" s="300"/>
      <c r="E551" s="27" t="s">
        <v>652</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49"/>
        <v>34.59999999997672</v>
      </c>
    </row>
    <row r="552" spans="2:24" ht="63">
      <c r="B552" s="291"/>
      <c r="C552" s="291"/>
      <c r="D552" s="300"/>
      <c r="E552" s="27" t="s">
        <v>653</v>
      </c>
      <c r="F552" s="76"/>
      <c r="G552" s="99"/>
      <c r="H552" s="224"/>
      <c r="I552" s="255">
        <v>3110</v>
      </c>
      <c r="J552" s="9">
        <v>25200</v>
      </c>
      <c r="K552" s="49"/>
      <c r="L552" s="49"/>
      <c r="M552" s="49"/>
      <c r="N552" s="49"/>
      <c r="O552" s="49"/>
      <c r="P552" s="49"/>
      <c r="Q552" s="49"/>
      <c r="R552" s="49"/>
      <c r="S552" s="49">
        <v>25200</v>
      </c>
      <c r="T552" s="49"/>
      <c r="U552" s="49"/>
      <c r="V552" s="49"/>
      <c r="W552" s="49">
        <v>25150</v>
      </c>
      <c r="X552" s="40">
        <f aca="true" t="shared" si="60" ref="X552:X615">K552+L552+M552+N552+O552+P552+Q552+R552+S552+T552+U552-W552</f>
        <v>50</v>
      </c>
    </row>
    <row r="553" spans="2:24" ht="110.25">
      <c r="B553" s="292"/>
      <c r="C553" s="292"/>
      <c r="D553" s="301"/>
      <c r="E553" s="27" t="s">
        <v>475</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60"/>
        <v>0</v>
      </c>
    </row>
    <row r="554" spans="2:24" ht="15.75">
      <c r="B554" s="194"/>
      <c r="C554" s="195"/>
      <c r="D554" s="325" t="s">
        <v>927</v>
      </c>
      <c r="E554" s="326"/>
      <c r="F554" s="100"/>
      <c r="G554" s="101"/>
      <c r="H554" s="223"/>
      <c r="I554" s="254"/>
      <c r="J554" s="43">
        <f aca="true" t="shared" si="61" ref="J554:W554">J557+J578+J601+J689+J693+J696+J575+J635+J687+J598+J555+J701</f>
        <v>97718251.61</v>
      </c>
      <c r="K554" s="43">
        <f t="shared" si="61"/>
        <v>0</v>
      </c>
      <c r="L554" s="43">
        <f t="shared" si="61"/>
        <v>3308538.190000001</v>
      </c>
      <c r="M554" s="43">
        <f t="shared" si="61"/>
        <v>599979.68</v>
      </c>
      <c r="N554" s="43">
        <f t="shared" si="61"/>
        <v>0</v>
      </c>
      <c r="O554" s="43">
        <f t="shared" si="61"/>
        <v>8086764.55</v>
      </c>
      <c r="P554" s="43">
        <f t="shared" si="61"/>
        <v>8476236.21</v>
      </c>
      <c r="Q554" s="43">
        <f t="shared" si="61"/>
        <v>9232216.84</v>
      </c>
      <c r="R554" s="43">
        <f t="shared" si="61"/>
        <v>25513595.56</v>
      </c>
      <c r="S554" s="43">
        <f t="shared" si="61"/>
        <v>33148866.7</v>
      </c>
      <c r="T554" s="43">
        <f t="shared" si="61"/>
        <v>4305706.46</v>
      </c>
      <c r="U554" s="43">
        <f t="shared" si="61"/>
        <v>1821700.42</v>
      </c>
      <c r="V554" s="43">
        <f t="shared" si="61"/>
        <v>3224647</v>
      </c>
      <c r="W554" s="43">
        <f t="shared" si="61"/>
        <v>48106417.61</v>
      </c>
      <c r="X554" s="60">
        <f t="shared" si="60"/>
        <v>46387187</v>
      </c>
    </row>
    <row r="555" spans="2:24" ht="15.75">
      <c r="B555" s="330" t="s">
        <v>69</v>
      </c>
      <c r="C555" s="330" t="s">
        <v>67</v>
      </c>
      <c r="D555" s="299" t="s">
        <v>763</v>
      </c>
      <c r="E555" s="94"/>
      <c r="F555" s="76"/>
      <c r="G555" s="99"/>
      <c r="H555" s="224"/>
      <c r="I555" s="255"/>
      <c r="J555" s="211">
        <f>J556</f>
        <v>33000</v>
      </c>
      <c r="K555" s="211">
        <f aca="true" t="shared" si="62" ref="K555:W555">K556</f>
        <v>0</v>
      </c>
      <c r="L555" s="211">
        <f t="shared" si="62"/>
        <v>0</v>
      </c>
      <c r="M555" s="211">
        <f t="shared" si="62"/>
        <v>0</v>
      </c>
      <c r="N555" s="211">
        <f t="shared" si="62"/>
        <v>0</v>
      </c>
      <c r="O555" s="211">
        <f t="shared" si="62"/>
        <v>33000</v>
      </c>
      <c r="P555" s="211">
        <f t="shared" si="62"/>
        <v>0</v>
      </c>
      <c r="Q555" s="211">
        <f t="shared" si="62"/>
        <v>0</v>
      </c>
      <c r="R555" s="211">
        <f t="shared" si="62"/>
        <v>0</v>
      </c>
      <c r="S555" s="211">
        <f t="shared" si="62"/>
        <v>0</v>
      </c>
      <c r="T555" s="211">
        <f t="shared" si="62"/>
        <v>0</v>
      </c>
      <c r="U555" s="211">
        <f t="shared" si="62"/>
        <v>0</v>
      </c>
      <c r="V555" s="211">
        <f t="shared" si="62"/>
        <v>0</v>
      </c>
      <c r="W555" s="211">
        <f t="shared" si="62"/>
        <v>32788</v>
      </c>
      <c r="X555" s="184">
        <f t="shared" si="60"/>
        <v>212</v>
      </c>
    </row>
    <row r="556" spans="2:24" ht="15.75">
      <c r="B556" s="332"/>
      <c r="C556" s="332"/>
      <c r="D556" s="301"/>
      <c r="E556" s="103" t="s">
        <v>654</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60"/>
        <v>212</v>
      </c>
    </row>
    <row r="557" spans="2:24" ht="15.75">
      <c r="B557" s="290" t="s">
        <v>891</v>
      </c>
      <c r="C557" s="290" t="s">
        <v>885</v>
      </c>
      <c r="D557" s="299" t="s">
        <v>886</v>
      </c>
      <c r="E557" s="94"/>
      <c r="F557" s="76"/>
      <c r="G557" s="99"/>
      <c r="H557" s="224"/>
      <c r="I557" s="255"/>
      <c r="J557" s="211">
        <f>SUM(J558:J574)</f>
        <v>11402358.52</v>
      </c>
      <c r="K557" s="211">
        <f aca="true" t="shared" si="63" ref="K557:W557">SUM(K558:K574)</f>
        <v>0</v>
      </c>
      <c r="L557" s="211">
        <f t="shared" si="63"/>
        <v>1210094.84</v>
      </c>
      <c r="M557" s="211">
        <f t="shared" si="63"/>
        <v>549979.68</v>
      </c>
      <c r="N557" s="211">
        <f t="shared" si="63"/>
        <v>0</v>
      </c>
      <c r="O557" s="211">
        <f t="shared" si="63"/>
        <v>2072682.39</v>
      </c>
      <c r="P557" s="211">
        <f t="shared" si="63"/>
        <v>1830992.5</v>
      </c>
      <c r="Q557" s="211">
        <f t="shared" si="63"/>
        <v>1347416.84</v>
      </c>
      <c r="R557" s="211">
        <f t="shared" si="63"/>
        <v>1480533.75</v>
      </c>
      <c r="S557" s="211">
        <f t="shared" si="63"/>
        <v>985641.75</v>
      </c>
      <c r="T557" s="211">
        <f t="shared" si="63"/>
        <v>657850.25</v>
      </c>
      <c r="U557" s="211">
        <f t="shared" si="63"/>
        <v>430522.52</v>
      </c>
      <c r="V557" s="211">
        <f t="shared" si="63"/>
        <v>836644</v>
      </c>
      <c r="W557" s="211">
        <f t="shared" si="63"/>
        <v>9668534</v>
      </c>
      <c r="X557" s="184">
        <f t="shared" si="60"/>
        <v>897180.5199999996</v>
      </c>
    </row>
    <row r="558" spans="2:24" ht="63">
      <c r="B558" s="291"/>
      <c r="C558" s="291"/>
      <c r="D558" s="300"/>
      <c r="E558" s="19" t="s">
        <v>888</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60"/>
        <v>0</v>
      </c>
    </row>
    <row r="559" spans="2:24" ht="110.25">
      <c r="B559" s="291"/>
      <c r="C559" s="291"/>
      <c r="D559" s="300"/>
      <c r="E559" s="19" t="s">
        <v>590</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60"/>
        <v>0</v>
      </c>
    </row>
    <row r="560" spans="2:24" ht="78.75">
      <c r="B560" s="291"/>
      <c r="C560" s="291"/>
      <c r="D560" s="300"/>
      <c r="E560" s="28" t="s">
        <v>902</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60"/>
        <v>0</v>
      </c>
    </row>
    <row r="561" spans="2:24" ht="78.75">
      <c r="B561" s="291"/>
      <c r="C561" s="291"/>
      <c r="D561" s="300"/>
      <c r="E561" s="28" t="s">
        <v>177</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60"/>
        <v>0</v>
      </c>
    </row>
    <row r="562" spans="2:24" ht="63">
      <c r="B562" s="291"/>
      <c r="C562" s="291"/>
      <c r="D562" s="300"/>
      <c r="E562" s="28" t="s">
        <v>925</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60"/>
        <v>0</v>
      </c>
    </row>
    <row r="563" spans="2:24" ht="47.25">
      <c r="B563" s="291"/>
      <c r="C563" s="291"/>
      <c r="D563" s="300"/>
      <c r="E563" s="28" t="s">
        <v>263</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60"/>
        <v>0</v>
      </c>
    </row>
    <row r="564" spans="2:24" ht="47.25">
      <c r="B564" s="291"/>
      <c r="C564" s="291"/>
      <c r="D564" s="300"/>
      <c r="E564" s="28" t="s">
        <v>429</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60"/>
        <v>0</v>
      </c>
    </row>
    <row r="565" spans="2:24" ht="63">
      <c r="B565" s="291"/>
      <c r="C565" s="291"/>
      <c r="D565" s="300"/>
      <c r="E565" s="28" t="s">
        <v>598</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60"/>
        <v>0</v>
      </c>
    </row>
    <row r="566" spans="2:24" ht="47.25">
      <c r="B566" s="291"/>
      <c r="C566" s="291"/>
      <c r="D566" s="300"/>
      <c r="E566" s="28" t="s">
        <v>692</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60"/>
        <v>0</v>
      </c>
    </row>
    <row r="567" spans="2:24" ht="47.25">
      <c r="B567" s="291"/>
      <c r="C567" s="291"/>
      <c r="D567" s="300"/>
      <c r="E567" s="28" t="s">
        <v>31</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60"/>
        <v>0</v>
      </c>
    </row>
    <row r="568" spans="2:24" ht="157.5">
      <c r="B568" s="291"/>
      <c r="C568" s="291"/>
      <c r="D568" s="300"/>
      <c r="E568" s="105" t="s">
        <v>180</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f>
        <v>7554944.640000001</v>
      </c>
      <c r="X568" s="40">
        <f t="shared" si="60"/>
        <v>516524.3599999994</v>
      </c>
    </row>
    <row r="569" spans="2:24" ht="78.75">
      <c r="B569" s="291"/>
      <c r="C569" s="291"/>
      <c r="D569" s="300"/>
      <c r="E569" s="10" t="s">
        <v>594</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60"/>
        <v>0</v>
      </c>
    </row>
    <row r="570" spans="2:24" ht="31.5">
      <c r="B570" s="291"/>
      <c r="C570" s="291"/>
      <c r="D570" s="300"/>
      <c r="E570" s="10" t="s">
        <v>595</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60"/>
        <v>66230.8</v>
      </c>
    </row>
    <row r="571" spans="2:24" ht="31.5">
      <c r="B571" s="291"/>
      <c r="C571" s="291"/>
      <c r="D571" s="300"/>
      <c r="E571" s="108" t="s">
        <v>780</v>
      </c>
      <c r="F571" s="106"/>
      <c r="G571" s="107"/>
      <c r="H571" s="228"/>
      <c r="I571" s="255">
        <v>3131</v>
      </c>
      <c r="J571" s="21">
        <v>184000</v>
      </c>
      <c r="K571" s="49"/>
      <c r="L571" s="49"/>
      <c r="M571" s="49"/>
      <c r="N571" s="49"/>
      <c r="O571" s="49"/>
      <c r="P571" s="49"/>
      <c r="Q571" s="49"/>
      <c r="R571" s="49">
        <v>184000</v>
      </c>
      <c r="S571" s="49"/>
      <c r="T571" s="49"/>
      <c r="U571" s="49"/>
      <c r="V571" s="49"/>
      <c r="W571" s="49"/>
      <c r="X571" s="40">
        <f t="shared" si="60"/>
        <v>184000</v>
      </c>
    </row>
    <row r="572" spans="2:24" ht="47.25">
      <c r="B572" s="291"/>
      <c r="C572" s="291"/>
      <c r="D572" s="300"/>
      <c r="E572" s="108" t="s">
        <v>508</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60"/>
        <v>56808.84</v>
      </c>
    </row>
    <row r="573" spans="2:24" ht="47.25">
      <c r="B573" s="291"/>
      <c r="C573" s="291"/>
      <c r="D573" s="300"/>
      <c r="E573" s="108" t="s">
        <v>509</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60"/>
        <v>51711.44</v>
      </c>
    </row>
    <row r="574" spans="2:24" ht="47.25">
      <c r="B574" s="291"/>
      <c r="C574" s="291"/>
      <c r="D574" s="300"/>
      <c r="E574" s="108" t="s">
        <v>596</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60"/>
        <v>21905.08</v>
      </c>
    </row>
    <row r="575" spans="2:24" ht="15.75">
      <c r="B575" s="288" t="s">
        <v>892</v>
      </c>
      <c r="C575" s="288" t="s">
        <v>885</v>
      </c>
      <c r="D575" s="333" t="s">
        <v>17</v>
      </c>
      <c r="E575" s="28"/>
      <c r="F575" s="76"/>
      <c r="G575" s="99"/>
      <c r="H575" s="224"/>
      <c r="I575" s="255"/>
      <c r="J575" s="210">
        <f>SUM(J576:J577)</f>
        <v>4129537.25</v>
      </c>
      <c r="K575" s="210">
        <f aca="true" t="shared" si="64" ref="K575:W575">SUM(K576:K577)</f>
        <v>0</v>
      </c>
      <c r="L575" s="210">
        <f t="shared" si="64"/>
        <v>0</v>
      </c>
      <c r="M575" s="210">
        <f t="shared" si="64"/>
        <v>0</v>
      </c>
      <c r="N575" s="210">
        <f t="shared" si="64"/>
        <v>0</v>
      </c>
      <c r="O575" s="210">
        <f t="shared" si="64"/>
        <v>1069537.25</v>
      </c>
      <c r="P575" s="210">
        <f t="shared" si="64"/>
        <v>500000</v>
      </c>
      <c r="Q575" s="210">
        <f t="shared" si="64"/>
        <v>500000</v>
      </c>
      <c r="R575" s="210">
        <f t="shared" si="64"/>
        <v>500000</v>
      </c>
      <c r="S575" s="210">
        <f t="shared" si="64"/>
        <v>1450000</v>
      </c>
      <c r="T575" s="210">
        <f t="shared" si="64"/>
        <v>-20000</v>
      </c>
      <c r="U575" s="210">
        <f t="shared" si="64"/>
        <v>130000</v>
      </c>
      <c r="V575" s="210">
        <f t="shared" si="64"/>
        <v>0</v>
      </c>
      <c r="W575" s="210">
        <f t="shared" si="64"/>
        <v>3278427.4099999997</v>
      </c>
      <c r="X575" s="184">
        <f t="shared" si="60"/>
        <v>851109.8400000003</v>
      </c>
    </row>
    <row r="576" spans="2:24" ht="94.5">
      <c r="B576" s="289"/>
      <c r="C576" s="289"/>
      <c r="D576" s="333"/>
      <c r="E576" s="12" t="s">
        <v>699</v>
      </c>
      <c r="F576" s="76"/>
      <c r="G576" s="99"/>
      <c r="H576" s="224"/>
      <c r="I576" s="251" t="s">
        <v>767</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f>
        <v>2705098.84</v>
      </c>
      <c r="X576" s="40">
        <f t="shared" si="60"/>
        <v>851109.8399999999</v>
      </c>
    </row>
    <row r="577" spans="2:24" ht="31.5">
      <c r="B577" s="293"/>
      <c r="C577" s="293"/>
      <c r="D577" s="333"/>
      <c r="E577" s="12" t="s">
        <v>28</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60"/>
        <v>0</v>
      </c>
    </row>
    <row r="578" spans="2:24" ht="15.75">
      <c r="B578" s="290" t="s">
        <v>73</v>
      </c>
      <c r="C578" s="290" t="s">
        <v>74</v>
      </c>
      <c r="D578" s="299" t="s">
        <v>376</v>
      </c>
      <c r="E578" s="28"/>
      <c r="F578" s="76"/>
      <c r="G578" s="99"/>
      <c r="H578" s="224"/>
      <c r="I578" s="255"/>
      <c r="J578" s="210">
        <f>SUM(J579:J597)</f>
        <v>5374027.48</v>
      </c>
      <c r="K578" s="210">
        <f aca="true" t="shared" si="65" ref="K578:W578">SUM(K579:K597)</f>
        <v>0</v>
      </c>
      <c r="L578" s="210">
        <f t="shared" si="65"/>
        <v>185354.47999999998</v>
      </c>
      <c r="M578" s="210">
        <f t="shared" si="65"/>
        <v>0</v>
      </c>
      <c r="N578" s="210">
        <f t="shared" si="65"/>
        <v>0</v>
      </c>
      <c r="O578" s="210">
        <f t="shared" si="65"/>
        <v>513320.11</v>
      </c>
      <c r="P578" s="210">
        <f t="shared" si="65"/>
        <v>460952</v>
      </c>
      <c r="Q578" s="210">
        <f t="shared" si="65"/>
        <v>1200000</v>
      </c>
      <c r="R578" s="210">
        <f t="shared" si="65"/>
        <v>1561295.7799999998</v>
      </c>
      <c r="S578" s="210">
        <f t="shared" si="65"/>
        <v>677104.21</v>
      </c>
      <c r="T578" s="210">
        <f t="shared" si="65"/>
        <v>384795</v>
      </c>
      <c r="U578" s="210">
        <f t="shared" si="65"/>
        <v>245377.90000000002</v>
      </c>
      <c r="V578" s="210">
        <f t="shared" si="65"/>
        <v>145828</v>
      </c>
      <c r="W578" s="210">
        <f t="shared" si="65"/>
        <v>2664659.7299999995</v>
      </c>
      <c r="X578" s="184">
        <f t="shared" si="60"/>
        <v>2563539.750000001</v>
      </c>
    </row>
    <row r="579" spans="2:24" ht="94.5">
      <c r="B579" s="291"/>
      <c r="C579" s="291"/>
      <c r="D579" s="300"/>
      <c r="E579" s="28" t="s">
        <v>562</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60"/>
        <v>0</v>
      </c>
    </row>
    <row r="580" spans="2:24" ht="63">
      <c r="B580" s="291"/>
      <c r="C580" s="291"/>
      <c r="D580" s="300"/>
      <c r="E580" s="12" t="s">
        <v>353</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60"/>
        <v>0</v>
      </c>
    </row>
    <row r="581" spans="2:24" ht="78.75">
      <c r="B581" s="291"/>
      <c r="C581" s="291"/>
      <c r="D581" s="300"/>
      <c r="E581" s="29" t="s">
        <v>272</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60"/>
        <v>0</v>
      </c>
    </row>
    <row r="582" spans="2:24" ht="63">
      <c r="B582" s="291"/>
      <c r="C582" s="291"/>
      <c r="D582" s="300"/>
      <c r="E582" s="10" t="s">
        <v>418</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60"/>
        <v>70216</v>
      </c>
    </row>
    <row r="583" spans="2:24" ht="63">
      <c r="B583" s="291"/>
      <c r="C583" s="291"/>
      <c r="D583" s="300"/>
      <c r="E583" s="10" t="s">
        <v>383</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60"/>
        <v>86702</v>
      </c>
    </row>
    <row r="584" spans="2:24" ht="31.5">
      <c r="B584" s="291"/>
      <c r="C584" s="291"/>
      <c r="D584" s="300"/>
      <c r="E584" s="52" t="s">
        <v>865</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60"/>
        <v>35445.84</v>
      </c>
    </row>
    <row r="585" spans="2:24" ht="78.75">
      <c r="B585" s="291"/>
      <c r="C585" s="291"/>
      <c r="D585" s="300"/>
      <c r="E585" s="10" t="s">
        <v>668</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60"/>
        <v>131296.93</v>
      </c>
    </row>
    <row r="586" spans="2:24" ht="78.75">
      <c r="B586" s="291"/>
      <c r="C586" s="291"/>
      <c r="D586" s="300"/>
      <c r="E586" s="10" t="s">
        <v>823</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60"/>
        <v>39715</v>
      </c>
    </row>
    <row r="587" spans="2:24" ht="78.75">
      <c r="B587" s="291"/>
      <c r="C587" s="291"/>
      <c r="D587" s="300"/>
      <c r="E587" s="10" t="s">
        <v>824</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60"/>
        <v>3087.829999999987</v>
      </c>
    </row>
    <row r="588" spans="2:24" ht="63">
      <c r="B588" s="291"/>
      <c r="C588" s="291"/>
      <c r="D588" s="300"/>
      <c r="E588" s="110" t="s">
        <v>102</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60"/>
        <v>5564.690000000002</v>
      </c>
    </row>
    <row r="589" spans="2:24" ht="78.75">
      <c r="B589" s="291"/>
      <c r="C589" s="291"/>
      <c r="D589" s="300"/>
      <c r="E589" s="10" t="s">
        <v>719</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60"/>
        <v>4427.799999999988</v>
      </c>
    </row>
    <row r="590" spans="2:24" ht="31.5">
      <c r="B590" s="291"/>
      <c r="C590" s="291"/>
      <c r="D590" s="300"/>
      <c r="E590" s="108" t="s">
        <v>419</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60"/>
        <v>10000</v>
      </c>
    </row>
    <row r="591" spans="2:24" ht="47.25">
      <c r="B591" s="291"/>
      <c r="C591" s="291"/>
      <c r="D591" s="300"/>
      <c r="E591" s="108" t="s">
        <v>720</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60"/>
        <v>2174231.9999999995</v>
      </c>
    </row>
    <row r="592" spans="2:24" ht="47.25" hidden="1">
      <c r="B592" s="291"/>
      <c r="C592" s="291"/>
      <c r="D592" s="300"/>
      <c r="E592" s="12" t="s">
        <v>721</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60"/>
        <v>0</v>
      </c>
    </row>
    <row r="593" spans="2:24" ht="47.25" hidden="1">
      <c r="B593" s="291"/>
      <c r="C593" s="291"/>
      <c r="D593" s="300"/>
      <c r="E593" s="12" t="s">
        <v>722</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t="shared" si="60"/>
        <v>0</v>
      </c>
    </row>
    <row r="594" spans="2:24" ht="63" hidden="1">
      <c r="B594" s="291"/>
      <c r="C594" s="291"/>
      <c r="D594" s="300"/>
      <c r="E594" s="12" t="s">
        <v>723</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0"/>
        <v>0</v>
      </c>
    </row>
    <row r="595" spans="2:24" ht="63">
      <c r="B595" s="291"/>
      <c r="C595" s="291"/>
      <c r="D595" s="300"/>
      <c r="E595" s="12" t="s">
        <v>867</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0"/>
        <v>2851.6600000000035</v>
      </c>
    </row>
    <row r="596" spans="2:24" ht="78.75" hidden="1">
      <c r="B596" s="291"/>
      <c r="C596" s="291"/>
      <c r="D596" s="300"/>
      <c r="E596" s="12" t="s">
        <v>129</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0"/>
        <v>0</v>
      </c>
    </row>
    <row r="597" spans="2:24" ht="94.5" hidden="1">
      <c r="B597" s="292"/>
      <c r="C597" s="292"/>
      <c r="D597" s="301"/>
      <c r="E597" s="10" t="s">
        <v>10</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0"/>
        <v>0</v>
      </c>
    </row>
    <row r="598" spans="2:24" ht="15.75">
      <c r="B598" s="288" t="s">
        <v>704</v>
      </c>
      <c r="C598" s="288" t="s">
        <v>705</v>
      </c>
      <c r="D598" s="299" t="s">
        <v>122</v>
      </c>
      <c r="E598" s="29"/>
      <c r="F598" s="14"/>
      <c r="G598" s="18"/>
      <c r="H598" s="229"/>
      <c r="I598" s="257"/>
      <c r="J598" s="210">
        <f>J599+J600</f>
        <v>32048234.95</v>
      </c>
      <c r="K598" s="210">
        <f aca="true" t="shared" si="66" ref="K598:W598">K599+K600</f>
        <v>0</v>
      </c>
      <c r="L598" s="210">
        <f t="shared" si="66"/>
        <v>0</v>
      </c>
      <c r="M598" s="210">
        <f t="shared" si="66"/>
        <v>0</v>
      </c>
      <c r="N598" s="210">
        <f t="shared" si="66"/>
        <v>0</v>
      </c>
      <c r="O598" s="210">
        <f t="shared" si="66"/>
        <v>0</v>
      </c>
      <c r="P598" s="210">
        <f t="shared" si="66"/>
        <v>0</v>
      </c>
      <c r="Q598" s="210">
        <f t="shared" si="66"/>
        <v>0</v>
      </c>
      <c r="R598" s="210">
        <f t="shared" si="66"/>
        <v>16016000</v>
      </c>
      <c r="S598" s="210">
        <f t="shared" si="66"/>
        <v>16032234.95</v>
      </c>
      <c r="T598" s="210">
        <f t="shared" si="66"/>
        <v>0</v>
      </c>
      <c r="U598" s="210">
        <f t="shared" si="66"/>
        <v>0</v>
      </c>
      <c r="V598" s="210">
        <f t="shared" si="66"/>
        <v>0</v>
      </c>
      <c r="W598" s="210">
        <f t="shared" si="66"/>
        <v>9612000</v>
      </c>
      <c r="X598" s="184">
        <f t="shared" si="60"/>
        <v>22436234.95</v>
      </c>
    </row>
    <row r="599" spans="2:24" ht="31.5">
      <c r="B599" s="289"/>
      <c r="C599" s="289"/>
      <c r="D599" s="300"/>
      <c r="E599" s="105" t="s">
        <v>11</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0"/>
        <v>22436234.95</v>
      </c>
    </row>
    <row r="600" spans="2:24" ht="15.75" hidden="1">
      <c r="B600" s="293"/>
      <c r="C600" s="293"/>
      <c r="D600" s="301"/>
      <c r="E600" s="105" t="s">
        <v>12</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0"/>
        <v>0</v>
      </c>
    </row>
    <row r="601" spans="2:24" ht="15.75">
      <c r="B601" s="290" t="s">
        <v>273</v>
      </c>
      <c r="C601" s="290" t="s">
        <v>855</v>
      </c>
      <c r="D601" s="299" t="s">
        <v>274</v>
      </c>
      <c r="E601" s="29"/>
      <c r="F601" s="76"/>
      <c r="G601" s="18"/>
      <c r="H601" s="224"/>
      <c r="I601" s="255"/>
      <c r="J601" s="210">
        <f>SUM(J602:J634)</f>
        <v>22523010.71</v>
      </c>
      <c r="K601" s="210">
        <f aca="true" t="shared" si="67" ref="K601:W601">SUM(K602:K634)</f>
        <v>0</v>
      </c>
      <c r="L601" s="210">
        <f t="shared" si="67"/>
        <v>1236888.87</v>
      </c>
      <c r="M601" s="210">
        <f>SUM(M602:M634)</f>
        <v>0</v>
      </c>
      <c r="N601" s="210">
        <f t="shared" si="67"/>
        <v>0</v>
      </c>
      <c r="O601" s="210">
        <f t="shared" si="67"/>
        <v>3130000</v>
      </c>
      <c r="P601" s="210">
        <f t="shared" si="67"/>
        <v>950000</v>
      </c>
      <c r="Q601" s="210">
        <f t="shared" si="67"/>
        <v>3350000</v>
      </c>
      <c r="R601" s="210">
        <f t="shared" si="67"/>
        <v>3076000</v>
      </c>
      <c r="S601" s="210">
        <f t="shared" si="67"/>
        <v>8401180.79</v>
      </c>
      <c r="T601" s="210">
        <f t="shared" si="67"/>
        <v>1624941.0499999998</v>
      </c>
      <c r="U601" s="210">
        <f t="shared" si="67"/>
        <v>330000</v>
      </c>
      <c r="V601" s="210">
        <f t="shared" si="67"/>
        <v>424000</v>
      </c>
      <c r="W601" s="210">
        <f t="shared" si="67"/>
        <v>12470522.739999998</v>
      </c>
      <c r="X601" s="184">
        <f t="shared" si="60"/>
        <v>9628487.970000003</v>
      </c>
    </row>
    <row r="602" spans="2:24" ht="31.5">
      <c r="B602" s="291"/>
      <c r="C602" s="291"/>
      <c r="D602" s="300"/>
      <c r="E602" s="29" t="s">
        <v>858</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0"/>
        <v>0</v>
      </c>
    </row>
    <row r="603" spans="2:24" ht="63">
      <c r="B603" s="291"/>
      <c r="C603" s="291"/>
      <c r="D603" s="300"/>
      <c r="E603" s="12" t="s">
        <v>216</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0"/>
        <v>0</v>
      </c>
    </row>
    <row r="604" spans="2:24" ht="47.25">
      <c r="B604" s="291"/>
      <c r="C604" s="291"/>
      <c r="D604" s="300"/>
      <c r="E604" s="12" t="s">
        <v>217</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0"/>
        <v>0</v>
      </c>
    </row>
    <row r="605" spans="2:24" ht="47.25">
      <c r="B605" s="291"/>
      <c r="C605" s="291"/>
      <c r="D605" s="300"/>
      <c r="E605" s="12" t="s">
        <v>868</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0"/>
        <v>0</v>
      </c>
    </row>
    <row r="606" spans="2:24" ht="47.25">
      <c r="B606" s="291"/>
      <c r="C606" s="291"/>
      <c r="D606" s="300"/>
      <c r="E606" s="12" t="s">
        <v>869</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0"/>
        <v>0</v>
      </c>
    </row>
    <row r="607" spans="2:24" ht="15.75">
      <c r="B607" s="291"/>
      <c r="C607" s="291"/>
      <c r="D607" s="300"/>
      <c r="E607" s="339" t="s">
        <v>627</v>
      </c>
      <c r="F607" s="30"/>
      <c r="G607" s="18"/>
      <c r="H607" s="229"/>
      <c r="I607" s="323">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0"/>
        <v>3968149.210000001</v>
      </c>
    </row>
    <row r="608" spans="2:24" ht="15.75">
      <c r="B608" s="291"/>
      <c r="C608" s="291"/>
      <c r="D608" s="300"/>
      <c r="E608" s="340"/>
      <c r="F608" s="30"/>
      <c r="G608" s="18"/>
      <c r="H608" s="229"/>
      <c r="I608" s="324"/>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0"/>
        <v>795947.63</v>
      </c>
    </row>
    <row r="609" spans="2:24" ht="47.25">
      <c r="B609" s="291"/>
      <c r="C609" s="291"/>
      <c r="D609" s="300"/>
      <c r="E609" s="12" t="s">
        <v>625</v>
      </c>
      <c r="F609" s="109"/>
      <c r="G609" s="111"/>
      <c r="H609" s="230"/>
      <c r="I609" s="257">
        <v>3132</v>
      </c>
      <c r="J609" s="21">
        <v>100000</v>
      </c>
      <c r="K609" s="203"/>
      <c r="L609" s="203"/>
      <c r="M609" s="203"/>
      <c r="N609" s="203"/>
      <c r="O609" s="203">
        <v>100000</v>
      </c>
      <c r="P609" s="203"/>
      <c r="Q609" s="203"/>
      <c r="R609" s="203"/>
      <c r="S609" s="203"/>
      <c r="T609" s="203"/>
      <c r="U609" s="203"/>
      <c r="V609" s="203"/>
      <c r="W609" s="49"/>
      <c r="X609" s="40">
        <f t="shared" si="60"/>
        <v>100000</v>
      </c>
    </row>
    <row r="610" spans="2:24" ht="47.25">
      <c r="B610" s="291"/>
      <c r="C610" s="291"/>
      <c r="D610" s="300"/>
      <c r="E610" s="12" t="s">
        <v>626</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f>
        <v>226206</v>
      </c>
      <c r="X610" s="40">
        <f t="shared" si="60"/>
        <v>219707</v>
      </c>
    </row>
    <row r="611" spans="2:24" ht="47.25">
      <c r="B611" s="291"/>
      <c r="C611" s="291"/>
      <c r="D611" s="300"/>
      <c r="E611" s="10" t="s">
        <v>96</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0"/>
        <v>50730.22999999998</v>
      </c>
    </row>
    <row r="612" spans="2:24" ht="15.75">
      <c r="B612" s="291"/>
      <c r="C612" s="291"/>
      <c r="D612" s="300"/>
      <c r="E612" s="10" t="s">
        <v>803</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0"/>
        <v>68546.53</v>
      </c>
    </row>
    <row r="613" spans="2:24" ht="31.5">
      <c r="B613" s="291"/>
      <c r="C613" s="291"/>
      <c r="D613" s="300"/>
      <c r="E613" s="10" t="s">
        <v>666</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0"/>
        <v>390000</v>
      </c>
    </row>
    <row r="614" spans="2:24" ht="31.5" hidden="1">
      <c r="B614" s="291"/>
      <c r="C614" s="291"/>
      <c r="D614" s="300"/>
      <c r="E614" s="10" t="s">
        <v>667</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0"/>
        <v>0</v>
      </c>
    </row>
    <row r="615" spans="2:24" ht="31.5">
      <c r="B615" s="291"/>
      <c r="C615" s="291"/>
      <c r="D615" s="300"/>
      <c r="E615" s="10" t="s">
        <v>105</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0"/>
        <v>6687.410000000149</v>
      </c>
    </row>
    <row r="616" spans="2:24" ht="63">
      <c r="B616" s="291"/>
      <c r="C616" s="291"/>
      <c r="D616" s="300"/>
      <c r="E616" s="10" t="s">
        <v>106</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aca="true" t="shared" si="68" ref="X616:X684">K616+L616+M616+N616+O616+P616+Q616+R616+S616+T616+U616-W616</f>
        <v>0</v>
      </c>
    </row>
    <row r="617" spans="2:24" ht="63" hidden="1">
      <c r="B617" s="291"/>
      <c r="C617" s="291"/>
      <c r="D617" s="300"/>
      <c r="E617" s="10" t="s">
        <v>828</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8"/>
        <v>0</v>
      </c>
    </row>
    <row r="618" spans="2:24" ht="63">
      <c r="B618" s="291"/>
      <c r="C618" s="291"/>
      <c r="D618" s="300"/>
      <c r="E618" s="10" t="s">
        <v>864</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8"/>
        <v>55686</v>
      </c>
    </row>
    <row r="619" spans="2:24" ht="63">
      <c r="B619" s="291"/>
      <c r="C619" s="291"/>
      <c r="D619" s="300"/>
      <c r="E619" s="10" t="s">
        <v>694</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8"/>
        <v>85968.01000000001</v>
      </c>
    </row>
    <row r="620" spans="2:24" ht="63">
      <c r="B620" s="291"/>
      <c r="C620" s="291"/>
      <c r="D620" s="300"/>
      <c r="E620" s="52" t="s">
        <v>107</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8"/>
        <v>17674.25</v>
      </c>
    </row>
    <row r="621" spans="2:24" ht="47.25" hidden="1">
      <c r="B621" s="291"/>
      <c r="C621" s="291"/>
      <c r="D621" s="300"/>
      <c r="E621" s="52" t="s">
        <v>829</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8"/>
        <v>0</v>
      </c>
    </row>
    <row r="622" spans="2:24" ht="47.25" hidden="1">
      <c r="B622" s="291"/>
      <c r="C622" s="291"/>
      <c r="D622" s="300"/>
      <c r="E622" s="52" t="s">
        <v>212</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8"/>
        <v>0</v>
      </c>
    </row>
    <row r="623" spans="2:24" ht="48.75" customHeight="1">
      <c r="B623" s="291"/>
      <c r="C623" s="291"/>
      <c r="D623" s="300"/>
      <c r="E623" s="52" t="s">
        <v>13</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8"/>
        <v>50541.73999999999</v>
      </c>
    </row>
    <row r="624" spans="2:24" ht="47.25">
      <c r="B624" s="291"/>
      <c r="C624" s="291"/>
      <c r="D624" s="300"/>
      <c r="E624" s="52" t="s">
        <v>447</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8"/>
        <v>0</v>
      </c>
    </row>
    <row r="625" spans="2:24" ht="31.5">
      <c r="B625" s="291"/>
      <c r="C625" s="291"/>
      <c r="D625" s="300"/>
      <c r="E625" s="52" t="s">
        <v>866</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f>
        <v>876400.04</v>
      </c>
      <c r="X625" s="40">
        <f t="shared" si="68"/>
        <v>793599.96</v>
      </c>
    </row>
    <row r="626" spans="2:24" ht="31.5">
      <c r="B626" s="291"/>
      <c r="C626" s="291"/>
      <c r="D626" s="300"/>
      <c r="E626" s="52" t="s">
        <v>404</v>
      </c>
      <c r="F626" s="113"/>
      <c r="G626" s="115"/>
      <c r="H626" s="228"/>
      <c r="I626" s="257">
        <v>3132</v>
      </c>
      <c r="J626" s="21">
        <v>1200000</v>
      </c>
      <c r="K626" s="203"/>
      <c r="L626" s="203"/>
      <c r="M626" s="203"/>
      <c r="N626" s="203"/>
      <c r="O626" s="203"/>
      <c r="P626" s="203"/>
      <c r="Q626" s="203"/>
      <c r="R626" s="203"/>
      <c r="S626" s="21">
        <v>1200000</v>
      </c>
      <c r="T626" s="49"/>
      <c r="U626" s="49"/>
      <c r="V626" s="49"/>
      <c r="W626" s="49">
        <f>10350</f>
        <v>10350</v>
      </c>
      <c r="X626" s="40">
        <f t="shared" si="68"/>
        <v>1189650</v>
      </c>
    </row>
    <row r="627" spans="2:24" ht="31.5">
      <c r="B627" s="291"/>
      <c r="C627" s="291"/>
      <c r="D627" s="300"/>
      <c r="E627" s="52" t="s">
        <v>130</v>
      </c>
      <c r="F627" s="113"/>
      <c r="G627" s="115"/>
      <c r="H627" s="228"/>
      <c r="I627" s="257">
        <v>3132</v>
      </c>
      <c r="J627" s="21">
        <v>1200000</v>
      </c>
      <c r="K627" s="203"/>
      <c r="L627" s="203"/>
      <c r="M627" s="203"/>
      <c r="N627" s="203"/>
      <c r="O627" s="203"/>
      <c r="P627" s="203"/>
      <c r="Q627" s="203"/>
      <c r="R627" s="203"/>
      <c r="S627" s="21">
        <v>1200000</v>
      </c>
      <c r="T627" s="49"/>
      <c r="U627" s="49"/>
      <c r="V627" s="49"/>
      <c r="W627" s="49">
        <f>7000+716400</f>
        <v>723400</v>
      </c>
      <c r="X627" s="40">
        <f t="shared" si="68"/>
        <v>476600</v>
      </c>
    </row>
    <row r="628" spans="2:24" ht="47.25">
      <c r="B628" s="291"/>
      <c r="C628" s="291"/>
      <c r="D628" s="300"/>
      <c r="E628" s="52" t="s">
        <v>356</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8"/>
        <v>104000</v>
      </c>
    </row>
    <row r="629" spans="2:24" ht="31.5">
      <c r="B629" s="291"/>
      <c r="C629" s="291"/>
      <c r="D629" s="300"/>
      <c r="E629" s="52" t="s">
        <v>481</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8"/>
        <v>108000</v>
      </c>
    </row>
    <row r="630" spans="2:24" ht="31.5" hidden="1">
      <c r="B630" s="291"/>
      <c r="C630" s="291"/>
      <c r="D630" s="300"/>
      <c r="E630" s="52" t="s">
        <v>866</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8"/>
        <v>-3.637978807091713E-11</v>
      </c>
    </row>
    <row r="631" spans="2:24" ht="47.25">
      <c r="B631" s="291"/>
      <c r="C631" s="291"/>
      <c r="D631" s="300"/>
      <c r="E631" s="52" t="s">
        <v>295</v>
      </c>
      <c r="F631" s="113"/>
      <c r="G631" s="115"/>
      <c r="H631" s="228"/>
      <c r="I631" s="257">
        <v>3132</v>
      </c>
      <c r="J631" s="21">
        <v>97000</v>
      </c>
      <c r="K631" s="49"/>
      <c r="L631" s="49"/>
      <c r="M631" s="49"/>
      <c r="N631" s="49"/>
      <c r="O631" s="49"/>
      <c r="P631" s="49"/>
      <c r="Q631" s="49"/>
      <c r="R631" s="49"/>
      <c r="S631" s="49"/>
      <c r="T631" s="49"/>
      <c r="U631" s="49">
        <v>97000</v>
      </c>
      <c r="V631" s="49"/>
      <c r="W631" s="49"/>
      <c r="X631" s="40">
        <f t="shared" si="68"/>
        <v>97000</v>
      </c>
    </row>
    <row r="632" spans="2:24" ht="47.25">
      <c r="B632" s="291"/>
      <c r="C632" s="291"/>
      <c r="D632" s="300"/>
      <c r="E632" s="52" t="s">
        <v>296</v>
      </c>
      <c r="F632" s="113"/>
      <c r="G632" s="115"/>
      <c r="H632" s="228"/>
      <c r="I632" s="257">
        <v>3132</v>
      </c>
      <c r="J632" s="21">
        <v>200000</v>
      </c>
      <c r="K632" s="49"/>
      <c r="L632" s="49"/>
      <c r="M632" s="49"/>
      <c r="N632" s="49"/>
      <c r="O632" s="49"/>
      <c r="P632" s="49"/>
      <c r="Q632" s="49"/>
      <c r="R632" s="49"/>
      <c r="S632" s="49"/>
      <c r="T632" s="49"/>
      <c r="U632" s="49">
        <v>200000</v>
      </c>
      <c r="V632" s="49"/>
      <c r="W632" s="49"/>
      <c r="X632" s="40">
        <f t="shared" si="68"/>
        <v>200000</v>
      </c>
    </row>
    <row r="633" spans="2:24" ht="63">
      <c r="B633" s="291"/>
      <c r="C633" s="291"/>
      <c r="D633" s="300"/>
      <c r="E633" s="52" t="s">
        <v>297</v>
      </c>
      <c r="F633" s="113"/>
      <c r="G633" s="115"/>
      <c r="H633" s="228"/>
      <c r="I633" s="257">
        <v>3132</v>
      </c>
      <c r="J633" s="21">
        <v>250000</v>
      </c>
      <c r="K633" s="49"/>
      <c r="L633" s="49"/>
      <c r="M633" s="49"/>
      <c r="N633" s="49"/>
      <c r="O633" s="49"/>
      <c r="P633" s="49"/>
      <c r="Q633" s="49"/>
      <c r="R633" s="49"/>
      <c r="S633" s="49"/>
      <c r="T633" s="49"/>
      <c r="U633" s="49">
        <v>250000</v>
      </c>
      <c r="V633" s="49"/>
      <c r="W633" s="49"/>
      <c r="X633" s="40">
        <f t="shared" si="68"/>
        <v>250000</v>
      </c>
    </row>
    <row r="634" spans="2:24" ht="31.5">
      <c r="B634" s="292"/>
      <c r="C634" s="292"/>
      <c r="D634" s="301"/>
      <c r="E634" s="52" t="s">
        <v>213</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8"/>
        <v>600000</v>
      </c>
    </row>
    <row r="635" spans="2:24" ht="15.75">
      <c r="B635" s="334" t="s">
        <v>201</v>
      </c>
      <c r="C635" s="334" t="s">
        <v>74</v>
      </c>
      <c r="D635" s="333" t="s">
        <v>335</v>
      </c>
      <c r="E635" s="29"/>
      <c r="F635" s="14"/>
      <c r="G635" s="18"/>
      <c r="H635" s="229"/>
      <c r="I635" s="257"/>
      <c r="J635" s="210">
        <f>J648+J678+J680+J651+J642+J645+J676+J640+J638+J636</f>
        <v>16660718.86</v>
      </c>
      <c r="K635" s="210">
        <f aca="true" t="shared" si="69" ref="K635:W635">K648+K678+K680+K651+K642+K645+K676+K640+K638+K636</f>
        <v>0</v>
      </c>
      <c r="L635" s="210">
        <f t="shared" si="69"/>
        <v>0</v>
      </c>
      <c r="M635" s="210">
        <f t="shared" si="69"/>
        <v>0</v>
      </c>
      <c r="N635" s="210">
        <f t="shared" si="69"/>
        <v>0</v>
      </c>
      <c r="O635" s="210">
        <f t="shared" si="69"/>
        <v>994424.8</v>
      </c>
      <c r="P635" s="210">
        <f t="shared" si="69"/>
        <v>4409759.9</v>
      </c>
      <c r="Q635" s="210">
        <f t="shared" si="69"/>
        <v>2734800</v>
      </c>
      <c r="R635" s="210">
        <f t="shared" si="69"/>
        <v>1877434</v>
      </c>
      <c r="S635" s="210">
        <f t="shared" si="69"/>
        <v>2482205</v>
      </c>
      <c r="T635" s="210">
        <f t="shared" si="69"/>
        <v>1658120.16</v>
      </c>
      <c r="U635" s="210">
        <f t="shared" si="69"/>
        <v>685800</v>
      </c>
      <c r="V635" s="210">
        <f t="shared" si="69"/>
        <v>1818175</v>
      </c>
      <c r="W635" s="210">
        <f t="shared" si="69"/>
        <v>7293898.160000001</v>
      </c>
      <c r="X635" s="184">
        <f t="shared" si="68"/>
        <v>7548645.699999998</v>
      </c>
    </row>
    <row r="636" spans="2:24" ht="31.5">
      <c r="B636" s="334"/>
      <c r="C636" s="334"/>
      <c r="D636" s="333"/>
      <c r="E636" s="119" t="s">
        <v>26</v>
      </c>
      <c r="F636" s="14"/>
      <c r="G636" s="18"/>
      <c r="H636" s="229"/>
      <c r="I636" s="257"/>
      <c r="J636" s="26">
        <f>J637</f>
        <v>18754.7</v>
      </c>
      <c r="K636" s="26">
        <f aca="true" t="shared" si="70" ref="K636:W636">K637</f>
        <v>0</v>
      </c>
      <c r="L636" s="26">
        <f t="shared" si="70"/>
        <v>0</v>
      </c>
      <c r="M636" s="26">
        <f t="shared" si="70"/>
        <v>0</v>
      </c>
      <c r="N636" s="26">
        <f t="shared" si="70"/>
        <v>0</v>
      </c>
      <c r="O636" s="26">
        <f t="shared" si="70"/>
        <v>0</v>
      </c>
      <c r="P636" s="26">
        <f t="shared" si="70"/>
        <v>18754.7</v>
      </c>
      <c r="Q636" s="26">
        <f t="shared" si="70"/>
        <v>0</v>
      </c>
      <c r="R636" s="26">
        <f t="shared" si="70"/>
        <v>0</v>
      </c>
      <c r="S636" s="26">
        <f t="shared" si="70"/>
        <v>0</v>
      </c>
      <c r="T636" s="26">
        <f t="shared" si="70"/>
        <v>0</v>
      </c>
      <c r="U636" s="26">
        <f t="shared" si="70"/>
        <v>0</v>
      </c>
      <c r="V636" s="26">
        <f t="shared" si="70"/>
        <v>0</v>
      </c>
      <c r="W636" s="26">
        <f t="shared" si="70"/>
        <v>18754.7</v>
      </c>
      <c r="X636" s="40">
        <f t="shared" si="68"/>
        <v>0</v>
      </c>
    </row>
    <row r="637" spans="2:24" ht="47.25">
      <c r="B637" s="334"/>
      <c r="C637" s="334"/>
      <c r="D637" s="333"/>
      <c r="E637" s="10" t="s">
        <v>27</v>
      </c>
      <c r="F637" s="14"/>
      <c r="G637" s="18"/>
      <c r="H637" s="229"/>
      <c r="I637" s="257">
        <v>3210</v>
      </c>
      <c r="J637" s="9">
        <v>18754.7</v>
      </c>
      <c r="K637" s="9"/>
      <c r="L637" s="9"/>
      <c r="M637" s="9"/>
      <c r="N637" s="9"/>
      <c r="O637" s="9"/>
      <c r="P637" s="9">
        <v>18754.7</v>
      </c>
      <c r="Q637" s="9"/>
      <c r="R637" s="9"/>
      <c r="S637" s="9"/>
      <c r="T637" s="9"/>
      <c r="U637" s="9"/>
      <c r="V637" s="9"/>
      <c r="W637" s="9">
        <v>18754.7</v>
      </c>
      <c r="X637" s="40">
        <f t="shared" si="68"/>
        <v>0</v>
      </c>
    </row>
    <row r="638" spans="2:24" ht="31.5">
      <c r="B638" s="334"/>
      <c r="C638" s="334"/>
      <c r="D638" s="333"/>
      <c r="E638" s="123" t="s">
        <v>781</v>
      </c>
      <c r="F638" s="14"/>
      <c r="G638" s="18"/>
      <c r="H638" s="229"/>
      <c r="I638" s="257"/>
      <c r="J638" s="26">
        <f>J639</f>
        <v>655320.16</v>
      </c>
      <c r="K638" s="26">
        <f aca="true" t="shared" si="71" ref="K638:W638">K639</f>
        <v>0</v>
      </c>
      <c r="L638" s="26">
        <f t="shared" si="71"/>
        <v>0</v>
      </c>
      <c r="M638" s="26">
        <f t="shared" si="71"/>
        <v>0</v>
      </c>
      <c r="N638" s="26">
        <f t="shared" si="71"/>
        <v>0</v>
      </c>
      <c r="O638" s="26">
        <f t="shared" si="71"/>
        <v>0</v>
      </c>
      <c r="P638" s="26">
        <f t="shared" si="71"/>
        <v>0</v>
      </c>
      <c r="Q638" s="26">
        <f t="shared" si="71"/>
        <v>0</v>
      </c>
      <c r="R638" s="26">
        <f t="shared" si="71"/>
        <v>400000</v>
      </c>
      <c r="S638" s="26">
        <f t="shared" si="71"/>
        <v>0</v>
      </c>
      <c r="T638" s="26">
        <f t="shared" si="71"/>
        <v>255320.16</v>
      </c>
      <c r="U638" s="26">
        <f t="shared" si="71"/>
        <v>0</v>
      </c>
      <c r="V638" s="26">
        <f t="shared" si="71"/>
        <v>0</v>
      </c>
      <c r="W638" s="26">
        <f t="shared" si="71"/>
        <v>344766.4</v>
      </c>
      <c r="X638" s="40">
        <f t="shared" si="68"/>
        <v>310553.76</v>
      </c>
    </row>
    <row r="639" spans="2:24" ht="15.75">
      <c r="B639" s="334"/>
      <c r="C639" s="334"/>
      <c r="D639" s="333"/>
      <c r="E639" s="12" t="s">
        <v>782</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8"/>
        <v>310553.76</v>
      </c>
    </row>
    <row r="640" spans="2:24" ht="31.5">
      <c r="B640" s="334"/>
      <c r="C640" s="334"/>
      <c r="D640" s="333"/>
      <c r="E640" s="116" t="s">
        <v>108</v>
      </c>
      <c r="F640" s="37"/>
      <c r="G640" s="84"/>
      <c r="H640" s="231"/>
      <c r="I640" s="258"/>
      <c r="J640" s="117">
        <f>J641</f>
        <v>1930000</v>
      </c>
      <c r="K640" s="117">
        <f aca="true" t="shared" si="72" ref="K640:W640">K641</f>
        <v>0</v>
      </c>
      <c r="L640" s="117">
        <f t="shared" si="72"/>
        <v>0</v>
      </c>
      <c r="M640" s="117">
        <f t="shared" si="72"/>
        <v>0</v>
      </c>
      <c r="N640" s="117">
        <f t="shared" si="72"/>
        <v>0</v>
      </c>
      <c r="O640" s="117">
        <f t="shared" si="72"/>
        <v>0</v>
      </c>
      <c r="P640" s="117">
        <f t="shared" si="72"/>
        <v>50000</v>
      </c>
      <c r="Q640" s="117">
        <f t="shared" si="72"/>
        <v>310000</v>
      </c>
      <c r="R640" s="117">
        <f t="shared" si="72"/>
        <v>310000</v>
      </c>
      <c r="S640" s="117">
        <f t="shared" si="72"/>
        <v>640000</v>
      </c>
      <c r="T640" s="117">
        <f t="shared" si="72"/>
        <v>310000</v>
      </c>
      <c r="U640" s="117">
        <f t="shared" si="72"/>
        <v>310000</v>
      </c>
      <c r="V640" s="117">
        <f t="shared" si="72"/>
        <v>0</v>
      </c>
      <c r="W640" s="117">
        <f t="shared" si="72"/>
        <v>1390082.4</v>
      </c>
      <c r="X640" s="40">
        <f t="shared" si="68"/>
        <v>539917.6000000001</v>
      </c>
    </row>
    <row r="641" spans="2:24" ht="63">
      <c r="B641" s="334"/>
      <c r="C641" s="334"/>
      <c r="D641" s="333"/>
      <c r="E641" s="29" t="s">
        <v>540</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f>
        <v>1390082.4</v>
      </c>
      <c r="X641" s="40">
        <f t="shared" si="68"/>
        <v>539917.6000000001</v>
      </c>
    </row>
    <row r="642" spans="2:24" ht="31.5">
      <c r="B642" s="334"/>
      <c r="C642" s="334"/>
      <c r="D642" s="333"/>
      <c r="E642" s="116" t="s">
        <v>734</v>
      </c>
      <c r="F642" s="14"/>
      <c r="G642" s="18"/>
      <c r="H642" s="229"/>
      <c r="I642" s="257"/>
      <c r="J642" s="26">
        <f>SUM(J643:J644)</f>
        <v>78800</v>
      </c>
      <c r="K642" s="26">
        <f aca="true" t="shared" si="73" ref="K642:W642">SUM(K643:K644)</f>
        <v>0</v>
      </c>
      <c r="L642" s="26">
        <f t="shared" si="73"/>
        <v>0</v>
      </c>
      <c r="M642" s="26">
        <f t="shared" si="73"/>
        <v>0</v>
      </c>
      <c r="N642" s="26">
        <f t="shared" si="73"/>
        <v>0</v>
      </c>
      <c r="O642" s="26">
        <f t="shared" si="73"/>
        <v>0</v>
      </c>
      <c r="P642" s="26">
        <f t="shared" si="73"/>
        <v>0</v>
      </c>
      <c r="Q642" s="26">
        <f t="shared" si="73"/>
        <v>78800</v>
      </c>
      <c r="R642" s="26">
        <f t="shared" si="73"/>
        <v>0</v>
      </c>
      <c r="S642" s="26">
        <f t="shared" si="73"/>
        <v>0</v>
      </c>
      <c r="T642" s="26">
        <f t="shared" si="73"/>
        <v>0</v>
      </c>
      <c r="U642" s="26">
        <f t="shared" si="73"/>
        <v>0</v>
      </c>
      <c r="V642" s="26">
        <f t="shared" si="73"/>
        <v>0</v>
      </c>
      <c r="W642" s="26">
        <f t="shared" si="73"/>
        <v>78800</v>
      </c>
      <c r="X642" s="40">
        <f t="shared" si="68"/>
        <v>0</v>
      </c>
    </row>
    <row r="643" spans="2:24" ht="47.25">
      <c r="B643" s="334"/>
      <c r="C643" s="334"/>
      <c r="D643" s="333"/>
      <c r="E643" s="10" t="s">
        <v>735</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8"/>
        <v>0</v>
      </c>
    </row>
    <row r="644" spans="2:24" ht="47.25">
      <c r="B644" s="334"/>
      <c r="C644" s="334"/>
      <c r="D644" s="333"/>
      <c r="E644" s="118" t="s">
        <v>736</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8"/>
        <v>0</v>
      </c>
    </row>
    <row r="645" spans="2:24" ht="31.5">
      <c r="B645" s="334"/>
      <c r="C645" s="334"/>
      <c r="D645" s="333"/>
      <c r="E645" s="119" t="s">
        <v>737</v>
      </c>
      <c r="F645" s="14"/>
      <c r="G645" s="18"/>
      <c r="H645" s="229"/>
      <c r="I645" s="257"/>
      <c r="J645" s="77">
        <f>SUM(J646:J647)</f>
        <v>254434</v>
      </c>
      <c r="K645" s="77">
        <f aca="true" t="shared" si="74" ref="K645:W645">SUM(K646:K647)</f>
        <v>0</v>
      </c>
      <c r="L645" s="77">
        <f t="shared" si="74"/>
        <v>0</v>
      </c>
      <c r="M645" s="77">
        <f t="shared" si="74"/>
        <v>0</v>
      </c>
      <c r="N645" s="77">
        <f t="shared" si="74"/>
        <v>0</v>
      </c>
      <c r="O645" s="77">
        <f t="shared" si="74"/>
        <v>0</v>
      </c>
      <c r="P645" s="77">
        <f t="shared" si="74"/>
        <v>0</v>
      </c>
      <c r="Q645" s="77">
        <f t="shared" si="74"/>
        <v>0</v>
      </c>
      <c r="R645" s="77">
        <f t="shared" si="74"/>
        <v>26934</v>
      </c>
      <c r="S645" s="77">
        <f t="shared" si="74"/>
        <v>75900</v>
      </c>
      <c r="T645" s="77">
        <f t="shared" si="74"/>
        <v>75800</v>
      </c>
      <c r="U645" s="77">
        <f t="shared" si="74"/>
        <v>75800</v>
      </c>
      <c r="V645" s="77">
        <f t="shared" si="74"/>
        <v>0</v>
      </c>
      <c r="W645" s="77">
        <f t="shared" si="74"/>
        <v>138180.04</v>
      </c>
      <c r="X645" s="40">
        <f t="shared" si="68"/>
        <v>116253.95999999999</v>
      </c>
    </row>
    <row r="646" spans="2:24" ht="47.25">
      <c r="B646" s="334"/>
      <c r="C646" s="334"/>
      <c r="D646" s="333"/>
      <c r="E646" s="10" t="s">
        <v>382</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8"/>
        <v>116253.95999999999</v>
      </c>
    </row>
    <row r="647" spans="2:24" ht="31.5">
      <c r="B647" s="334"/>
      <c r="C647" s="334"/>
      <c r="D647" s="333"/>
      <c r="E647" s="10" t="s">
        <v>148</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8"/>
        <v>0</v>
      </c>
    </row>
    <row r="648" spans="2:24" ht="31.5">
      <c r="B648" s="334"/>
      <c r="C648" s="334"/>
      <c r="D648" s="333"/>
      <c r="E648" s="39" t="s">
        <v>695</v>
      </c>
      <c r="F648" s="120"/>
      <c r="G648" s="120"/>
      <c r="H648" s="232"/>
      <c r="I648" s="257"/>
      <c r="J648" s="40">
        <f>SUM(J649:J650)</f>
        <v>450000</v>
      </c>
      <c r="K648" s="40">
        <f aca="true" t="shared" si="75" ref="K648:W648">SUM(K649:K650)</f>
        <v>0</v>
      </c>
      <c r="L648" s="40">
        <f t="shared" si="75"/>
        <v>0</v>
      </c>
      <c r="M648" s="40">
        <f t="shared" si="75"/>
        <v>0</v>
      </c>
      <c r="N648" s="40">
        <f t="shared" si="75"/>
        <v>0</v>
      </c>
      <c r="O648" s="40">
        <f t="shared" si="75"/>
        <v>207124.8</v>
      </c>
      <c r="P648" s="40">
        <f t="shared" si="75"/>
        <v>242875.2</v>
      </c>
      <c r="Q648" s="40">
        <f t="shared" si="75"/>
        <v>0</v>
      </c>
      <c r="R648" s="40">
        <f t="shared" si="75"/>
        <v>0</v>
      </c>
      <c r="S648" s="40">
        <f t="shared" si="75"/>
        <v>0</v>
      </c>
      <c r="T648" s="40">
        <f t="shared" si="75"/>
        <v>0</v>
      </c>
      <c r="U648" s="40">
        <f t="shared" si="75"/>
        <v>0</v>
      </c>
      <c r="V648" s="40">
        <f t="shared" si="75"/>
        <v>0</v>
      </c>
      <c r="W648" s="40">
        <f t="shared" si="75"/>
        <v>299484</v>
      </c>
      <c r="X648" s="40">
        <f t="shared" si="68"/>
        <v>150516</v>
      </c>
    </row>
    <row r="649" spans="2:24" ht="31.5">
      <c r="B649" s="334"/>
      <c r="C649" s="334"/>
      <c r="D649" s="333"/>
      <c r="E649" s="121" t="s">
        <v>696</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8"/>
        <v>516</v>
      </c>
    </row>
    <row r="650" spans="2:24" ht="63">
      <c r="B650" s="334"/>
      <c r="C650" s="334"/>
      <c r="D650" s="333"/>
      <c r="E650" s="12" t="s">
        <v>697</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8"/>
        <v>150000</v>
      </c>
    </row>
    <row r="651" spans="2:24" ht="31.5">
      <c r="B651" s="334"/>
      <c r="C651" s="334"/>
      <c r="D651" s="333"/>
      <c r="E651" s="123" t="s">
        <v>698</v>
      </c>
      <c r="F651" s="124"/>
      <c r="G651" s="125"/>
      <c r="H651" s="235"/>
      <c r="I651" s="257"/>
      <c r="J651" s="77">
        <f>SUM(J652:J675)</f>
        <v>11889380</v>
      </c>
      <c r="K651" s="77">
        <f aca="true" t="shared" si="76" ref="K651:W651">SUM(K652:K675)</f>
        <v>0</v>
      </c>
      <c r="L651" s="77">
        <f t="shared" si="76"/>
        <v>0</v>
      </c>
      <c r="M651" s="77">
        <f>SUM(M652:M675)</f>
        <v>0</v>
      </c>
      <c r="N651" s="77">
        <f t="shared" si="76"/>
        <v>0</v>
      </c>
      <c r="O651" s="77">
        <f>SUM(O652:O675)</f>
        <v>506100</v>
      </c>
      <c r="P651" s="77">
        <f t="shared" si="76"/>
        <v>3754300</v>
      </c>
      <c r="Q651" s="77">
        <f t="shared" si="76"/>
        <v>1846000</v>
      </c>
      <c r="R651" s="77">
        <f>SUM(R652:R675)</f>
        <v>990500</v>
      </c>
      <c r="S651" s="77">
        <f t="shared" si="76"/>
        <v>1697305</v>
      </c>
      <c r="T651" s="77">
        <f t="shared" si="76"/>
        <v>1017000</v>
      </c>
      <c r="U651" s="77">
        <f t="shared" si="76"/>
        <v>260000</v>
      </c>
      <c r="V651" s="77">
        <f t="shared" si="76"/>
        <v>1818175</v>
      </c>
      <c r="W651" s="77">
        <f t="shared" si="76"/>
        <v>4747720.33</v>
      </c>
      <c r="X651" s="40">
        <f t="shared" si="68"/>
        <v>5323484.67</v>
      </c>
    </row>
    <row r="652" spans="2:24" ht="63">
      <c r="B652" s="334"/>
      <c r="C652" s="334"/>
      <c r="D652" s="333"/>
      <c r="E652" s="12" t="s">
        <v>742</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8"/>
        <v>2471.600000000006</v>
      </c>
    </row>
    <row r="653" spans="2:24" ht="78.75">
      <c r="B653" s="334"/>
      <c r="C653" s="334"/>
      <c r="D653" s="333"/>
      <c r="E653" s="12" t="s">
        <v>147</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f>
        <v>799807.6799999999</v>
      </c>
      <c r="X653" s="40">
        <f t="shared" si="68"/>
        <v>100192.32000000007</v>
      </c>
    </row>
    <row r="654" spans="2:24" ht="47.25">
      <c r="B654" s="334"/>
      <c r="C654" s="334"/>
      <c r="D654" s="333"/>
      <c r="E654" s="24" t="s">
        <v>110</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8"/>
        <v>59.88999999999942</v>
      </c>
    </row>
    <row r="655" spans="2:24" ht="63">
      <c r="B655" s="334"/>
      <c r="C655" s="334"/>
      <c r="D655" s="333"/>
      <c r="E655" s="24" t="s">
        <v>111</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8"/>
        <v>32349.28</v>
      </c>
    </row>
    <row r="656" spans="2:24" ht="63">
      <c r="B656" s="334"/>
      <c r="C656" s="334"/>
      <c r="D656" s="333"/>
      <c r="E656" s="12" t="s">
        <v>23</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8"/>
        <v>380000</v>
      </c>
    </row>
    <row r="657" spans="2:24" ht="63">
      <c r="B657" s="334"/>
      <c r="C657" s="334"/>
      <c r="D657" s="333"/>
      <c r="E657" s="24" t="s">
        <v>659</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t="shared" si="68"/>
        <v>4873.440000000002</v>
      </c>
    </row>
    <row r="658" spans="2:24" ht="47.25">
      <c r="B658" s="334"/>
      <c r="C658" s="334"/>
      <c r="D658" s="333"/>
      <c r="E658" s="24" t="s">
        <v>37</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68"/>
        <v>5548.440000000002</v>
      </c>
    </row>
    <row r="659" spans="2:24" ht="47.25">
      <c r="B659" s="334"/>
      <c r="C659" s="334"/>
      <c r="D659" s="333"/>
      <c r="E659" s="24" t="s">
        <v>38</v>
      </c>
      <c r="F659" s="109"/>
      <c r="G659" s="109"/>
      <c r="H659" s="230"/>
      <c r="I659" s="257">
        <v>3210</v>
      </c>
      <c r="J659" s="21">
        <v>500000</v>
      </c>
      <c r="K659" s="49"/>
      <c r="L659" s="49"/>
      <c r="M659" s="49"/>
      <c r="N659" s="49"/>
      <c r="O659" s="49"/>
      <c r="P659" s="49"/>
      <c r="Q659" s="49"/>
      <c r="R659" s="49">
        <v>500000</v>
      </c>
      <c r="S659" s="49"/>
      <c r="T659" s="49"/>
      <c r="U659" s="49"/>
      <c r="V659" s="49"/>
      <c r="W659" s="49"/>
      <c r="X659" s="40">
        <f t="shared" si="68"/>
        <v>500000</v>
      </c>
    </row>
    <row r="660" spans="2:24" ht="63">
      <c r="B660" s="334"/>
      <c r="C660" s="334"/>
      <c r="D660" s="333"/>
      <c r="E660" s="24" t="s">
        <v>39</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f>
        <v>10164.48</v>
      </c>
      <c r="X660" s="40">
        <f t="shared" si="68"/>
        <v>1682835.52</v>
      </c>
    </row>
    <row r="661" spans="2:24" ht="63">
      <c r="B661" s="334"/>
      <c r="C661" s="334"/>
      <c r="D661" s="333"/>
      <c r="E661" s="24" t="s">
        <v>873</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68"/>
        <v>726.9400000000605</v>
      </c>
    </row>
    <row r="662" spans="2:24" ht="78.75">
      <c r="B662" s="334"/>
      <c r="C662" s="334"/>
      <c r="D662" s="333"/>
      <c r="E662" s="24" t="s">
        <v>129</v>
      </c>
      <c r="F662" s="109"/>
      <c r="G662" s="109"/>
      <c r="H662" s="230"/>
      <c r="I662" s="257">
        <v>3210</v>
      </c>
      <c r="J662" s="21">
        <v>300000</v>
      </c>
      <c r="K662" s="49"/>
      <c r="L662" s="49"/>
      <c r="M662" s="49"/>
      <c r="N662" s="49"/>
      <c r="O662" s="49"/>
      <c r="P662" s="49"/>
      <c r="Q662" s="49"/>
      <c r="R662" s="49"/>
      <c r="S662" s="49"/>
      <c r="T662" s="49"/>
      <c r="U662" s="49">
        <v>300000</v>
      </c>
      <c r="V662" s="49"/>
      <c r="W662" s="49"/>
      <c r="X662" s="40">
        <f t="shared" si="68"/>
        <v>300000</v>
      </c>
    </row>
    <row r="663" spans="2:24" ht="63">
      <c r="B663" s="334"/>
      <c r="C663" s="334"/>
      <c r="D663" s="333"/>
      <c r="E663" s="24" t="s">
        <v>856</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c r="X663" s="40">
        <f t="shared" si="68"/>
        <v>1081825</v>
      </c>
    </row>
    <row r="664" spans="2:24" ht="63">
      <c r="B664" s="334"/>
      <c r="C664" s="334"/>
      <c r="D664" s="333"/>
      <c r="E664" s="12" t="s">
        <v>24</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68"/>
        <v>22570.399999999994</v>
      </c>
    </row>
    <row r="665" spans="2:24" ht="63">
      <c r="B665" s="334"/>
      <c r="C665" s="334"/>
      <c r="D665" s="333"/>
      <c r="E665" s="126" t="s">
        <v>25</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68"/>
        <v>404.01000000000204</v>
      </c>
    </row>
    <row r="666" spans="2:24" ht="47.25">
      <c r="B666" s="334"/>
      <c r="C666" s="334"/>
      <c r="D666" s="333"/>
      <c r="E666" s="108" t="s">
        <v>149</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68"/>
        <v>1271.4400000000023</v>
      </c>
    </row>
    <row r="667" spans="2:24" ht="47.25">
      <c r="B667" s="334"/>
      <c r="C667" s="334"/>
      <c r="D667" s="333"/>
      <c r="E667" s="108" t="s">
        <v>150</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68"/>
        <v>1965.8300000000745</v>
      </c>
    </row>
    <row r="668" spans="2:24" ht="31.5">
      <c r="B668" s="334"/>
      <c r="C668" s="334"/>
      <c r="D668" s="333"/>
      <c r="E668" s="108" t="s">
        <v>847</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68"/>
        <v>3875.3199999999997</v>
      </c>
    </row>
    <row r="669" spans="2:24" ht="63">
      <c r="B669" s="334"/>
      <c r="C669" s="334"/>
      <c r="D669" s="333"/>
      <c r="E669" s="108" t="s">
        <v>848</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68"/>
        <v>4203.5</v>
      </c>
    </row>
    <row r="670" spans="2:24" ht="94.5" hidden="1">
      <c r="B670" s="334"/>
      <c r="C670" s="334"/>
      <c r="D670" s="333"/>
      <c r="E670" s="24" t="s">
        <v>648</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68"/>
        <v>0</v>
      </c>
    </row>
    <row r="671" spans="2:24" ht="63.75" customHeight="1">
      <c r="B671" s="334"/>
      <c r="C671" s="334"/>
      <c r="D671" s="333"/>
      <c r="E671" s="278" t="s">
        <v>740</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68"/>
        <v>108310.54</v>
      </c>
    </row>
    <row r="672" spans="2:24" ht="63.75" customHeight="1">
      <c r="B672" s="334"/>
      <c r="C672" s="334"/>
      <c r="D672" s="333"/>
      <c r="E672" s="278" t="s">
        <v>741</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68"/>
        <v>214.79000000000815</v>
      </c>
    </row>
    <row r="673" spans="2:24" ht="94.5">
      <c r="B673" s="334"/>
      <c r="C673" s="334"/>
      <c r="D673" s="333"/>
      <c r="E673" s="278" t="s">
        <v>278</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68"/>
        <v>60061.20999999999</v>
      </c>
    </row>
    <row r="674" spans="2:24" ht="63">
      <c r="B674" s="334"/>
      <c r="C674" s="334"/>
      <c r="D674" s="333"/>
      <c r="E674" s="278" t="s">
        <v>117</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68"/>
        <v>1017000</v>
      </c>
    </row>
    <row r="675" spans="2:24" ht="47.25">
      <c r="B675" s="334"/>
      <c r="C675" s="334"/>
      <c r="D675" s="333"/>
      <c r="E675" s="108" t="s">
        <v>849</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68"/>
        <v>12725.199999999983</v>
      </c>
    </row>
    <row r="676" spans="2:24" ht="31.5">
      <c r="B676" s="334"/>
      <c r="C676" s="334"/>
      <c r="D676" s="333"/>
      <c r="E676" s="127" t="s">
        <v>32</v>
      </c>
      <c r="F676" s="125"/>
      <c r="G676" s="125"/>
      <c r="H676" s="237"/>
      <c r="I676" s="257"/>
      <c r="J676" s="77">
        <f>J677</f>
        <v>68000</v>
      </c>
      <c r="K676" s="77">
        <f aca="true" t="shared" si="77" ref="K676:W676">K677</f>
        <v>0</v>
      </c>
      <c r="L676" s="77">
        <f t="shared" si="77"/>
        <v>0</v>
      </c>
      <c r="M676" s="77">
        <f t="shared" si="77"/>
        <v>0</v>
      </c>
      <c r="N676" s="77">
        <f t="shared" si="77"/>
        <v>0</v>
      </c>
      <c r="O676" s="77">
        <f t="shared" si="77"/>
        <v>0</v>
      </c>
      <c r="P676" s="77">
        <f t="shared" si="77"/>
        <v>28000</v>
      </c>
      <c r="Q676" s="77">
        <f t="shared" si="77"/>
        <v>0</v>
      </c>
      <c r="R676" s="77">
        <f t="shared" si="77"/>
        <v>0</v>
      </c>
      <c r="S676" s="77">
        <f t="shared" si="77"/>
        <v>0</v>
      </c>
      <c r="T676" s="77">
        <f t="shared" si="77"/>
        <v>0</v>
      </c>
      <c r="U676" s="77">
        <f t="shared" si="77"/>
        <v>40000</v>
      </c>
      <c r="V676" s="77">
        <f t="shared" si="77"/>
        <v>0</v>
      </c>
      <c r="W676" s="77">
        <f t="shared" si="77"/>
        <v>3907</v>
      </c>
      <c r="X676" s="40">
        <f t="shared" si="68"/>
        <v>64093</v>
      </c>
    </row>
    <row r="677" spans="2:24" ht="31.5">
      <c r="B677" s="334"/>
      <c r="C677" s="334"/>
      <c r="D677" s="333"/>
      <c r="E677" s="108" t="s">
        <v>33</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68"/>
        <v>64093</v>
      </c>
    </row>
    <row r="678" spans="2:24" ht="47.25">
      <c r="B678" s="334"/>
      <c r="C678" s="334"/>
      <c r="D678" s="333"/>
      <c r="E678" s="123" t="s">
        <v>34</v>
      </c>
      <c r="F678" s="109"/>
      <c r="G678" s="109"/>
      <c r="H678" s="238"/>
      <c r="I678" s="257"/>
      <c r="J678" s="77">
        <f>J679</f>
        <v>65830</v>
      </c>
      <c r="K678" s="77">
        <f aca="true" t="shared" si="78" ref="K678:W678">K679</f>
        <v>0</v>
      </c>
      <c r="L678" s="77">
        <f t="shared" si="78"/>
        <v>0</v>
      </c>
      <c r="M678" s="77">
        <f t="shared" si="78"/>
        <v>0</v>
      </c>
      <c r="N678" s="77">
        <f t="shared" si="78"/>
        <v>0</v>
      </c>
      <c r="O678" s="77">
        <f t="shared" si="78"/>
        <v>0</v>
      </c>
      <c r="P678" s="77">
        <f t="shared" si="78"/>
        <v>65830</v>
      </c>
      <c r="Q678" s="77">
        <f t="shared" si="78"/>
        <v>0</v>
      </c>
      <c r="R678" s="77">
        <f t="shared" si="78"/>
        <v>0</v>
      </c>
      <c r="S678" s="77">
        <f t="shared" si="78"/>
        <v>0</v>
      </c>
      <c r="T678" s="77">
        <f t="shared" si="78"/>
        <v>0</v>
      </c>
      <c r="U678" s="77">
        <f t="shared" si="78"/>
        <v>0</v>
      </c>
      <c r="V678" s="77">
        <f t="shared" si="78"/>
        <v>0</v>
      </c>
      <c r="W678" s="77">
        <f t="shared" si="78"/>
        <v>65830</v>
      </c>
      <c r="X678" s="40">
        <f t="shared" si="68"/>
        <v>0</v>
      </c>
    </row>
    <row r="679" spans="2:24" ht="31.5">
      <c r="B679" s="334"/>
      <c r="C679" s="334"/>
      <c r="D679" s="333"/>
      <c r="E679" s="12" t="s">
        <v>541</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68"/>
        <v>0</v>
      </c>
    </row>
    <row r="680" spans="2:24" ht="31.5">
      <c r="B680" s="334"/>
      <c r="C680" s="334"/>
      <c r="D680" s="333"/>
      <c r="E680" s="123" t="s">
        <v>35</v>
      </c>
      <c r="F680" s="109"/>
      <c r="G680" s="109"/>
      <c r="H680" s="238"/>
      <c r="I680" s="257"/>
      <c r="J680" s="77">
        <f>SUM(J681:J686)</f>
        <v>1250200</v>
      </c>
      <c r="K680" s="77">
        <f aca="true" t="shared" si="79" ref="K680:W680">SUM(K681:K686)</f>
        <v>0</v>
      </c>
      <c r="L680" s="77">
        <f t="shared" si="79"/>
        <v>0</v>
      </c>
      <c r="M680" s="77">
        <f t="shared" si="79"/>
        <v>0</v>
      </c>
      <c r="N680" s="77">
        <f t="shared" si="79"/>
        <v>0</v>
      </c>
      <c r="O680" s="77">
        <f t="shared" si="79"/>
        <v>281200</v>
      </c>
      <c r="P680" s="77">
        <f t="shared" si="79"/>
        <v>250000</v>
      </c>
      <c r="Q680" s="77">
        <f t="shared" si="79"/>
        <v>500000</v>
      </c>
      <c r="R680" s="77">
        <f t="shared" si="79"/>
        <v>150000</v>
      </c>
      <c r="S680" s="77">
        <f t="shared" si="79"/>
        <v>69000</v>
      </c>
      <c r="T680" s="77">
        <f t="shared" si="79"/>
        <v>0</v>
      </c>
      <c r="U680" s="77">
        <f t="shared" si="79"/>
        <v>0</v>
      </c>
      <c r="V680" s="77">
        <f t="shared" si="79"/>
        <v>0</v>
      </c>
      <c r="W680" s="77">
        <f t="shared" si="79"/>
        <v>206373.29</v>
      </c>
      <c r="X680" s="40">
        <f t="shared" si="68"/>
        <v>1043826.71</v>
      </c>
    </row>
    <row r="681" spans="2:24" ht="31.5">
      <c r="B681" s="334"/>
      <c r="C681" s="334"/>
      <c r="D681" s="333"/>
      <c r="E681" s="12" t="s">
        <v>362</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f>
        <v>9875.29</v>
      </c>
      <c r="X681" s="40">
        <f t="shared" si="68"/>
        <v>967453.71</v>
      </c>
    </row>
    <row r="682" spans="2:24" ht="31.5">
      <c r="B682" s="334"/>
      <c r="C682" s="334"/>
      <c r="D682" s="333"/>
      <c r="E682" s="105" t="s">
        <v>363</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68"/>
        <v>2099</v>
      </c>
    </row>
    <row r="683" spans="2:24" ht="31.5">
      <c r="B683" s="334"/>
      <c r="C683" s="334"/>
      <c r="D683" s="333"/>
      <c r="E683" s="10" t="s">
        <v>357</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68"/>
        <v>10601</v>
      </c>
    </row>
    <row r="684" spans="2:24" ht="15.75">
      <c r="B684" s="334"/>
      <c r="C684" s="334"/>
      <c r="D684" s="333"/>
      <c r="E684" s="10" t="s">
        <v>358</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68"/>
        <v>2401</v>
      </c>
    </row>
    <row r="685" spans="2:24" ht="15.75">
      <c r="B685" s="334"/>
      <c r="C685" s="334"/>
      <c r="D685" s="333"/>
      <c r="E685" s="10" t="s">
        <v>359</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aca="true" t="shared" si="80" ref="X685:X750">K685+L685+M685+N685+O685+P685+Q685+R685+S685+T685+U685-W685</f>
        <v>31671</v>
      </c>
    </row>
    <row r="686" spans="2:24" ht="31.5">
      <c r="B686" s="334"/>
      <c r="C686" s="334"/>
      <c r="D686" s="333"/>
      <c r="E686" s="10" t="s">
        <v>364</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80"/>
        <v>29601</v>
      </c>
    </row>
    <row r="687" spans="2:24" ht="15.75">
      <c r="B687" s="288" t="s">
        <v>835</v>
      </c>
      <c r="C687" s="288" t="s">
        <v>706</v>
      </c>
      <c r="D687" s="299" t="s">
        <v>365</v>
      </c>
      <c r="E687" s="29"/>
      <c r="F687" s="14"/>
      <c r="G687" s="18"/>
      <c r="H687" s="229"/>
      <c r="I687" s="257"/>
      <c r="J687" s="210">
        <f>J688</f>
        <v>50000</v>
      </c>
      <c r="K687" s="210">
        <f aca="true" t="shared" si="81" ref="K687:W687">K688</f>
        <v>0</v>
      </c>
      <c r="L687" s="210">
        <f t="shared" si="81"/>
        <v>0</v>
      </c>
      <c r="M687" s="210">
        <f t="shared" si="81"/>
        <v>0</v>
      </c>
      <c r="N687" s="210">
        <f t="shared" si="81"/>
        <v>0</v>
      </c>
      <c r="O687" s="210">
        <f t="shared" si="81"/>
        <v>0</v>
      </c>
      <c r="P687" s="210">
        <f t="shared" si="81"/>
        <v>50000</v>
      </c>
      <c r="Q687" s="210">
        <f t="shared" si="81"/>
        <v>0</v>
      </c>
      <c r="R687" s="210">
        <f t="shared" si="81"/>
        <v>0</v>
      </c>
      <c r="S687" s="210">
        <f t="shared" si="81"/>
        <v>0</v>
      </c>
      <c r="T687" s="210">
        <f t="shared" si="81"/>
        <v>0</v>
      </c>
      <c r="U687" s="210">
        <f t="shared" si="81"/>
        <v>0</v>
      </c>
      <c r="V687" s="210">
        <f t="shared" si="81"/>
        <v>0</v>
      </c>
      <c r="W687" s="210">
        <f t="shared" si="81"/>
        <v>49500</v>
      </c>
      <c r="X687" s="184">
        <f t="shared" si="80"/>
        <v>500</v>
      </c>
    </row>
    <row r="688" spans="2:24" ht="63">
      <c r="B688" s="289"/>
      <c r="C688" s="289"/>
      <c r="D688" s="300"/>
      <c r="E688" s="105" t="s">
        <v>29</v>
      </c>
      <c r="F688" s="113"/>
      <c r="G688" s="113"/>
      <c r="H688" s="228"/>
      <c r="I688" s="250"/>
      <c r="J688" s="21">
        <v>50000</v>
      </c>
      <c r="K688" s="49"/>
      <c r="L688" s="49"/>
      <c r="M688" s="49"/>
      <c r="N688" s="49"/>
      <c r="O688" s="49"/>
      <c r="P688" s="49">
        <v>50000</v>
      </c>
      <c r="Q688" s="49"/>
      <c r="R688" s="49"/>
      <c r="S688" s="49"/>
      <c r="T688" s="49"/>
      <c r="U688" s="49"/>
      <c r="V688" s="49"/>
      <c r="W688" s="49">
        <v>49500</v>
      </c>
      <c r="X688" s="40">
        <f t="shared" si="80"/>
        <v>500</v>
      </c>
    </row>
    <row r="689" spans="2:24" ht="15.75">
      <c r="B689" s="290" t="s">
        <v>671</v>
      </c>
      <c r="C689" s="290" t="s">
        <v>707</v>
      </c>
      <c r="D689" s="299" t="s">
        <v>672</v>
      </c>
      <c r="E689" s="29"/>
      <c r="F689" s="76"/>
      <c r="G689" s="99"/>
      <c r="H689" s="224"/>
      <c r="I689" s="255"/>
      <c r="J689" s="210">
        <f>SUM(J690:J692)</f>
        <v>2354526.8400000003</v>
      </c>
      <c r="K689" s="210">
        <f aca="true" t="shared" si="82" ref="K689:W689">SUM(K690:K692)</f>
        <v>0</v>
      </c>
      <c r="L689" s="210">
        <f t="shared" si="82"/>
        <v>208369.1</v>
      </c>
      <c r="M689" s="210">
        <f t="shared" si="82"/>
        <v>21016.37</v>
      </c>
      <c r="N689" s="210">
        <f t="shared" si="82"/>
        <v>0</v>
      </c>
      <c r="O689" s="210">
        <f t="shared" si="82"/>
        <v>0</v>
      </c>
      <c r="P689" s="210">
        <f t="shared" si="82"/>
        <v>0</v>
      </c>
      <c r="Q689" s="210">
        <f t="shared" si="82"/>
        <v>0</v>
      </c>
      <c r="R689" s="210">
        <f t="shared" si="82"/>
        <v>0</v>
      </c>
      <c r="S689" s="210">
        <f t="shared" si="82"/>
        <v>1900000</v>
      </c>
      <c r="T689" s="210">
        <f t="shared" si="82"/>
        <v>225141.37</v>
      </c>
      <c r="U689" s="210">
        <f t="shared" si="82"/>
        <v>0</v>
      </c>
      <c r="V689" s="210">
        <f t="shared" si="82"/>
        <v>0</v>
      </c>
      <c r="W689" s="210">
        <f t="shared" si="82"/>
        <v>1206143.1</v>
      </c>
      <c r="X689" s="184">
        <f t="shared" si="80"/>
        <v>1148383.7400000002</v>
      </c>
    </row>
    <row r="690" spans="2:24" ht="78.75">
      <c r="B690" s="291"/>
      <c r="C690" s="291"/>
      <c r="D690" s="300"/>
      <c r="E690" s="10" t="s">
        <v>476</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80"/>
        <v>0</v>
      </c>
    </row>
    <row r="691" spans="2:24" ht="47.25">
      <c r="B691" s="291"/>
      <c r="C691" s="291"/>
      <c r="D691" s="300"/>
      <c r="E691" s="10" t="s">
        <v>279</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80"/>
        <v>1127367.37</v>
      </c>
    </row>
    <row r="692" spans="2:24" ht="78.75">
      <c r="B692" s="292"/>
      <c r="C692" s="292"/>
      <c r="D692" s="301"/>
      <c r="E692" s="10" t="s">
        <v>52</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80"/>
        <v>21016.37</v>
      </c>
    </row>
    <row r="693" spans="2:24" ht="15.75">
      <c r="B693" s="335" t="s">
        <v>673</v>
      </c>
      <c r="C693" s="335" t="s">
        <v>674</v>
      </c>
      <c r="D693" s="336" t="s">
        <v>675</v>
      </c>
      <c r="E693" s="29"/>
      <c r="F693" s="76"/>
      <c r="G693" s="99"/>
      <c r="H693" s="224"/>
      <c r="I693" s="255"/>
      <c r="J693" s="210">
        <f>SUM(J694:J695)</f>
        <v>767368.1</v>
      </c>
      <c r="K693" s="210">
        <f aca="true" t="shared" si="83" ref="K693:W693">SUM(K694:K695)</f>
        <v>0</v>
      </c>
      <c r="L693" s="210">
        <f t="shared" si="83"/>
        <v>292509.47</v>
      </c>
      <c r="M693" s="210">
        <f t="shared" si="83"/>
        <v>28983.63</v>
      </c>
      <c r="N693" s="210">
        <f t="shared" si="83"/>
        <v>0</v>
      </c>
      <c r="O693" s="210">
        <f t="shared" si="83"/>
        <v>203653.24</v>
      </c>
      <c r="P693" s="210">
        <f t="shared" si="83"/>
        <v>0</v>
      </c>
      <c r="Q693" s="210">
        <f t="shared" si="83"/>
        <v>0</v>
      </c>
      <c r="R693" s="210">
        <f t="shared" si="83"/>
        <v>242221.76</v>
      </c>
      <c r="S693" s="210">
        <f t="shared" si="83"/>
        <v>0</v>
      </c>
      <c r="T693" s="210">
        <f t="shared" si="83"/>
        <v>0</v>
      </c>
      <c r="U693" s="210">
        <f t="shared" si="83"/>
        <v>0</v>
      </c>
      <c r="V693" s="210">
        <f t="shared" si="83"/>
        <v>0</v>
      </c>
      <c r="W693" s="210">
        <f t="shared" si="83"/>
        <v>292509.47</v>
      </c>
      <c r="X693" s="184">
        <f t="shared" si="80"/>
        <v>474858.63</v>
      </c>
    </row>
    <row r="694" spans="2:24" ht="63">
      <c r="B694" s="335"/>
      <c r="C694" s="335"/>
      <c r="D694" s="336"/>
      <c r="E694" s="29" t="s">
        <v>444</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80"/>
        <v>0</v>
      </c>
    </row>
    <row r="695" spans="2:24" ht="31.5" customHeight="1">
      <c r="B695" s="335"/>
      <c r="C695" s="335"/>
      <c r="D695" s="336"/>
      <c r="E695" s="12" t="s">
        <v>754</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80"/>
        <v>474858.63</v>
      </c>
    </row>
    <row r="696" spans="2:24" ht="15.75" customHeight="1">
      <c r="B696" s="335" t="s">
        <v>1</v>
      </c>
      <c r="C696" s="335" t="s">
        <v>709</v>
      </c>
      <c r="D696" s="336" t="s">
        <v>708</v>
      </c>
      <c r="E696" s="29"/>
      <c r="F696" s="76"/>
      <c r="G696" s="99"/>
      <c r="H696" s="224"/>
      <c r="I696" s="255"/>
      <c r="J696" s="210">
        <f>SUM(J697:J700)</f>
        <v>1154968.9</v>
      </c>
      <c r="K696" s="210">
        <f aca="true" t="shared" si="84" ref="K696:W696">SUM(K697:K700)</f>
        <v>0</v>
      </c>
      <c r="L696" s="210">
        <f t="shared" si="84"/>
        <v>175321.43</v>
      </c>
      <c r="M696" s="210">
        <f t="shared" si="84"/>
        <v>0</v>
      </c>
      <c r="N696" s="210">
        <f t="shared" si="84"/>
        <v>0</v>
      </c>
      <c r="O696" s="210">
        <f t="shared" si="84"/>
        <v>70146.76</v>
      </c>
      <c r="P696" s="210">
        <f t="shared" si="84"/>
        <v>274531.81</v>
      </c>
      <c r="Q696" s="210">
        <f t="shared" si="84"/>
        <v>100000</v>
      </c>
      <c r="R696" s="210">
        <f t="shared" si="84"/>
        <v>760110.27</v>
      </c>
      <c r="S696" s="210">
        <f t="shared" si="84"/>
        <v>0</v>
      </c>
      <c r="T696" s="210">
        <f t="shared" si="84"/>
        <v>-225141.37</v>
      </c>
      <c r="U696" s="210">
        <f t="shared" si="84"/>
        <v>0</v>
      </c>
      <c r="V696" s="210">
        <f t="shared" si="84"/>
        <v>0</v>
      </c>
      <c r="W696" s="210">
        <f t="shared" si="84"/>
        <v>316935</v>
      </c>
      <c r="X696" s="184">
        <f t="shared" si="80"/>
        <v>838033.8999999999</v>
      </c>
    </row>
    <row r="697" spans="2:24" ht="47.25" customHeight="1" hidden="1">
      <c r="B697" s="335"/>
      <c r="C697" s="335"/>
      <c r="D697" s="336"/>
      <c r="E697" s="31" t="s">
        <v>218</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80"/>
        <v>0</v>
      </c>
    </row>
    <row r="698" spans="2:24" ht="47.25" customHeight="1">
      <c r="B698" s="335"/>
      <c r="C698" s="335"/>
      <c r="D698" s="336"/>
      <c r="E698" s="31" t="s">
        <v>784</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80"/>
        <v>294968.9</v>
      </c>
    </row>
    <row r="699" spans="2:24" ht="47.25" customHeight="1">
      <c r="B699" s="335"/>
      <c r="C699" s="335"/>
      <c r="D699" s="336"/>
      <c r="E699" s="31" t="s">
        <v>785</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80"/>
        <v>390000</v>
      </c>
    </row>
    <row r="700" spans="2:24" ht="31.5">
      <c r="B700" s="335"/>
      <c r="C700" s="335"/>
      <c r="D700" s="336"/>
      <c r="E700" s="31" t="s">
        <v>786</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80"/>
        <v>153065</v>
      </c>
    </row>
    <row r="701" spans="2:24" ht="15.75">
      <c r="B701" s="297" t="s">
        <v>144</v>
      </c>
      <c r="C701" s="297" t="s">
        <v>854</v>
      </c>
      <c r="D701" s="298" t="s">
        <v>680</v>
      </c>
      <c r="E701" s="67"/>
      <c r="F701" s="76"/>
      <c r="G701" s="99"/>
      <c r="H701" s="224"/>
      <c r="I701" s="255"/>
      <c r="J701" s="282">
        <f>SUM(J702:J703)</f>
        <v>1220500</v>
      </c>
      <c r="K701" s="282">
        <f aca="true" t="shared" si="85" ref="K701:W701">SUM(K702:K703)</f>
        <v>0</v>
      </c>
      <c r="L701" s="282">
        <f t="shared" si="85"/>
        <v>0</v>
      </c>
      <c r="M701" s="282">
        <f t="shared" si="85"/>
        <v>0</v>
      </c>
      <c r="N701" s="282">
        <f t="shared" si="85"/>
        <v>0</v>
      </c>
      <c r="O701" s="282">
        <f t="shared" si="85"/>
        <v>0</v>
      </c>
      <c r="P701" s="282">
        <f t="shared" si="85"/>
        <v>0</v>
      </c>
      <c r="Q701" s="282">
        <f t="shared" si="85"/>
        <v>0</v>
      </c>
      <c r="R701" s="282">
        <f t="shared" si="85"/>
        <v>0</v>
      </c>
      <c r="S701" s="282">
        <f t="shared" si="85"/>
        <v>1220500</v>
      </c>
      <c r="T701" s="282">
        <f t="shared" si="85"/>
        <v>0</v>
      </c>
      <c r="U701" s="282">
        <f t="shared" si="85"/>
        <v>0</v>
      </c>
      <c r="V701" s="282">
        <f t="shared" si="85"/>
        <v>0</v>
      </c>
      <c r="W701" s="282">
        <f t="shared" si="85"/>
        <v>1220500</v>
      </c>
      <c r="X701" s="184">
        <f t="shared" si="80"/>
        <v>0</v>
      </c>
    </row>
    <row r="702" spans="2:24" ht="236.25">
      <c r="B702" s="297"/>
      <c r="C702" s="297"/>
      <c r="D702" s="298"/>
      <c r="E702" s="12" t="s">
        <v>402</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80"/>
        <v>0</v>
      </c>
    </row>
    <row r="703" spans="2:24" ht="141.75">
      <c r="B703" s="297"/>
      <c r="C703" s="297"/>
      <c r="D703" s="298"/>
      <c r="E703" s="12" t="s">
        <v>446</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80"/>
        <v>0</v>
      </c>
    </row>
    <row r="704" spans="2:24" ht="15.75">
      <c r="B704" s="194"/>
      <c r="C704" s="195"/>
      <c r="D704" s="325" t="s">
        <v>852</v>
      </c>
      <c r="E704" s="326"/>
      <c r="F704" s="100"/>
      <c r="G704" s="101"/>
      <c r="H704" s="223"/>
      <c r="I704" s="254"/>
      <c r="J704" s="43">
        <f>J708+J714+J730+J734+J739+J743+J795+J801+J858+J732+J853+J705</f>
        <v>52155706.830000006</v>
      </c>
      <c r="K704" s="43">
        <f>K708+K714+K730+K734+K739+K743+K795+K801+K858+K732+K853+K705</f>
        <v>0</v>
      </c>
      <c r="L704" s="43">
        <f>L708+L714+L730+L734+L739+L743+L795+L801+L858+L732+L853+L705</f>
        <v>5764956.289999999</v>
      </c>
      <c r="M704" s="43">
        <f>M708+M714+M730+M734+M739+M743+M795+M801+M858+M732+M853+M705</f>
        <v>0</v>
      </c>
      <c r="N704" s="43">
        <f>N708+N714+N730+N734+N739+N743+N795+N801+N858+N732+N853+N705</f>
        <v>0</v>
      </c>
      <c r="O704" s="43">
        <f>O708+O714+O730+O734+O739+O743+O795+O801+O858+O732+O853+O705</f>
        <v>2741572.66</v>
      </c>
      <c r="P704" s="43">
        <f>P708+P714+P730+P734+P739+P743+P795+P801+P858+P732+P853+P705</f>
        <v>5980997.3</v>
      </c>
      <c r="Q704" s="43">
        <f>Q708+Q714+Q730+Q734+Q739+Q743+Q795+Q801+Q858+Q732+Q853+Q705</f>
        <v>5031760.970000001</v>
      </c>
      <c r="R704" s="43">
        <f>R708+R714+R730+R734+R739+R743+R795+R801+R858+R732+R853+R705</f>
        <v>10156573.33</v>
      </c>
      <c r="S704" s="43">
        <f>S708+S714+S730+S734+S739+S743+S795+S801+S858+S732+S853+S705</f>
        <v>14798971.28</v>
      </c>
      <c r="T704" s="43">
        <f>T708+T714+T730+T734+T739+T743+T795+T801+T858+T732+T853+T705</f>
        <v>7251625</v>
      </c>
      <c r="U704" s="43">
        <f>U708+U714+U730+U734+U739+U743+U795+U801+U858+U732+U853+U705</f>
        <v>414625</v>
      </c>
      <c r="V704" s="43">
        <f>V708+V714+V730+V734+V739+V743+V795+V801+V858+V732+V853+V705</f>
        <v>14625</v>
      </c>
      <c r="W704" s="43">
        <f>W708+W714+W730+W734+W739+W743+W795+W801+W858+W732+W853+W705</f>
        <v>19398499.049999997</v>
      </c>
      <c r="X704" s="60">
        <f t="shared" si="80"/>
        <v>32742582.78</v>
      </c>
    </row>
    <row r="705" spans="2:24" ht="15.75" customHeight="1" hidden="1">
      <c r="B705" s="364" t="s">
        <v>69</v>
      </c>
      <c r="C705" s="364" t="s">
        <v>67</v>
      </c>
      <c r="D705" s="346" t="s">
        <v>763</v>
      </c>
      <c r="E705" s="265"/>
      <c r="F705" s="76"/>
      <c r="G705" s="99"/>
      <c r="H705" s="224"/>
      <c r="I705" s="255"/>
      <c r="J705" s="211">
        <f>J706+J707</f>
        <v>0</v>
      </c>
      <c r="K705" s="211">
        <f>K706+K707</f>
        <v>0</v>
      </c>
      <c r="L705" s="211">
        <f>L706+L707</f>
        <v>0</v>
      </c>
      <c r="M705" s="211">
        <f>M706+M707</f>
        <v>0</v>
      </c>
      <c r="N705" s="211">
        <f>N706+N707</f>
        <v>0</v>
      </c>
      <c r="O705" s="211">
        <f>O706+O707</f>
        <v>0</v>
      </c>
      <c r="P705" s="211">
        <f>P706+P707</f>
        <v>0</v>
      </c>
      <c r="Q705" s="211">
        <f>Q706+Q707</f>
        <v>0</v>
      </c>
      <c r="R705" s="211">
        <f>R706+R707</f>
        <v>195000</v>
      </c>
      <c r="S705" s="211">
        <f>S706+S707</f>
        <v>0</v>
      </c>
      <c r="T705" s="211">
        <f>T706+T707</f>
        <v>0</v>
      </c>
      <c r="U705" s="211">
        <f>U706+U707</f>
        <v>-195000</v>
      </c>
      <c r="V705" s="211">
        <f>V706+V707</f>
        <v>0</v>
      </c>
      <c r="W705" s="211">
        <f>W706+W707</f>
        <v>0</v>
      </c>
      <c r="X705" s="184">
        <f t="shared" si="80"/>
        <v>0</v>
      </c>
    </row>
    <row r="706" spans="2:24" ht="15.75" hidden="1">
      <c r="B706" s="302"/>
      <c r="C706" s="302"/>
      <c r="D706" s="300"/>
      <c r="E706" s="12" t="s">
        <v>738</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80"/>
        <v>0</v>
      </c>
    </row>
    <row r="707" spans="2:24" ht="47.25" hidden="1">
      <c r="B707" s="365"/>
      <c r="C707" s="365"/>
      <c r="D707" s="347"/>
      <c r="E707" s="12" t="s">
        <v>739</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80"/>
        <v>0</v>
      </c>
    </row>
    <row r="708" spans="2:24" ht="15.75">
      <c r="B708" s="290" t="s">
        <v>203</v>
      </c>
      <c r="C708" s="290" t="s">
        <v>765</v>
      </c>
      <c r="D708" s="299" t="s">
        <v>169</v>
      </c>
      <c r="E708" s="94"/>
      <c r="F708" s="76"/>
      <c r="G708" s="99"/>
      <c r="H708" s="224"/>
      <c r="I708" s="255"/>
      <c r="J708" s="211">
        <f>SUM(J709:J713)</f>
        <v>739797.73</v>
      </c>
      <c r="K708" s="211">
        <f aca="true" t="shared" si="86" ref="K708:W708">SUM(K709:K713)</f>
        <v>0</v>
      </c>
      <c r="L708" s="211">
        <f t="shared" si="86"/>
        <v>376797.73</v>
      </c>
      <c r="M708" s="211">
        <f t="shared" si="86"/>
        <v>0</v>
      </c>
      <c r="N708" s="211">
        <f t="shared" si="86"/>
        <v>0</v>
      </c>
      <c r="O708" s="211">
        <f t="shared" si="86"/>
        <v>0</v>
      </c>
      <c r="P708" s="211">
        <f t="shared" si="86"/>
        <v>363000</v>
      </c>
      <c r="Q708" s="211">
        <f t="shared" si="86"/>
        <v>0</v>
      </c>
      <c r="R708" s="211">
        <f t="shared" si="86"/>
        <v>0</v>
      </c>
      <c r="S708" s="211">
        <f t="shared" si="86"/>
        <v>0</v>
      </c>
      <c r="T708" s="211">
        <f t="shared" si="86"/>
        <v>0</v>
      </c>
      <c r="U708" s="211">
        <f t="shared" si="86"/>
        <v>0</v>
      </c>
      <c r="V708" s="211">
        <f t="shared" si="86"/>
        <v>0</v>
      </c>
      <c r="W708" s="211">
        <f t="shared" si="86"/>
        <v>697160.23</v>
      </c>
      <c r="X708" s="184">
        <f t="shared" si="80"/>
        <v>42637.5</v>
      </c>
    </row>
    <row r="709" spans="2:24" ht="94.5">
      <c r="B709" s="291"/>
      <c r="C709" s="291"/>
      <c r="D709" s="300"/>
      <c r="E709" s="12" t="s">
        <v>870</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80"/>
        <v>0</v>
      </c>
    </row>
    <row r="710" spans="2:24" ht="47.25">
      <c r="B710" s="291"/>
      <c r="C710" s="291"/>
      <c r="D710" s="300"/>
      <c r="E710" s="12" t="s">
        <v>871</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80"/>
        <v>0</v>
      </c>
    </row>
    <row r="711" spans="2:24" ht="78.75">
      <c r="B711" s="291"/>
      <c r="C711" s="291"/>
      <c r="D711" s="300"/>
      <c r="E711" s="12" t="s">
        <v>133</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80"/>
        <v>15398.5</v>
      </c>
    </row>
    <row r="712" spans="2:24" ht="31.5">
      <c r="B712" s="291"/>
      <c r="C712" s="291"/>
      <c r="D712" s="300"/>
      <c r="E712" s="12" t="s">
        <v>385</v>
      </c>
      <c r="F712" s="76"/>
      <c r="G712" s="18"/>
      <c r="H712" s="224"/>
      <c r="I712" s="255">
        <v>3132</v>
      </c>
      <c r="J712" s="9">
        <v>21000</v>
      </c>
      <c r="K712" s="49"/>
      <c r="L712" s="49"/>
      <c r="M712" s="49"/>
      <c r="N712" s="49"/>
      <c r="O712" s="49"/>
      <c r="P712" s="49">
        <v>21000</v>
      </c>
      <c r="Q712" s="49"/>
      <c r="R712" s="49"/>
      <c r="S712" s="49"/>
      <c r="T712" s="49"/>
      <c r="U712" s="49"/>
      <c r="V712" s="49"/>
      <c r="W712" s="49"/>
      <c r="X712" s="40">
        <f t="shared" si="80"/>
        <v>21000</v>
      </c>
    </row>
    <row r="713" spans="2:24" ht="47.25">
      <c r="B713" s="291"/>
      <c r="C713" s="291"/>
      <c r="D713" s="300"/>
      <c r="E713" s="130" t="s">
        <v>312</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80"/>
        <v>6239</v>
      </c>
    </row>
    <row r="714" spans="2:24" ht="15.75">
      <c r="B714" s="290" t="s">
        <v>204</v>
      </c>
      <c r="C714" s="290" t="s">
        <v>121</v>
      </c>
      <c r="D714" s="299" t="s">
        <v>120</v>
      </c>
      <c r="E714" s="94"/>
      <c r="F714" s="76"/>
      <c r="G714" s="99"/>
      <c r="H714" s="224"/>
      <c r="I714" s="255"/>
      <c r="J714" s="211">
        <f>SUM(J715:J729)</f>
        <v>1503213.17</v>
      </c>
      <c r="K714" s="211">
        <f aca="true" t="shared" si="87" ref="K714:W714">SUM(K715:K729)</f>
        <v>0</v>
      </c>
      <c r="L714" s="211">
        <f t="shared" si="87"/>
        <v>972193.17</v>
      </c>
      <c r="M714" s="211">
        <f t="shared" si="87"/>
        <v>0</v>
      </c>
      <c r="N714" s="211">
        <f t="shared" si="87"/>
        <v>0</v>
      </c>
      <c r="O714" s="211">
        <f t="shared" si="87"/>
        <v>45400</v>
      </c>
      <c r="P714" s="211">
        <f t="shared" si="87"/>
        <v>120000</v>
      </c>
      <c r="Q714" s="211">
        <f t="shared" si="87"/>
        <v>140000</v>
      </c>
      <c r="R714" s="211">
        <f t="shared" si="87"/>
        <v>0</v>
      </c>
      <c r="S714" s="211">
        <f t="shared" si="87"/>
        <v>200000</v>
      </c>
      <c r="T714" s="211">
        <f t="shared" si="87"/>
        <v>0</v>
      </c>
      <c r="U714" s="211">
        <f t="shared" si="87"/>
        <v>25620</v>
      </c>
      <c r="V714" s="211">
        <f t="shared" si="87"/>
        <v>0</v>
      </c>
      <c r="W714" s="211">
        <f t="shared" si="87"/>
        <v>862656.86</v>
      </c>
      <c r="X714" s="184">
        <f t="shared" si="80"/>
        <v>640556.3099999999</v>
      </c>
    </row>
    <row r="715" spans="2:24" ht="63">
      <c r="B715" s="291"/>
      <c r="C715" s="291"/>
      <c r="D715" s="300"/>
      <c r="E715" s="12" t="s">
        <v>768</v>
      </c>
      <c r="F715" s="76">
        <v>1058633</v>
      </c>
      <c r="G715" s="18">
        <f aca="true" t="shared" si="88"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80"/>
        <v>0</v>
      </c>
    </row>
    <row r="716" spans="2:24" ht="63">
      <c r="B716" s="291"/>
      <c r="C716" s="291"/>
      <c r="D716" s="300"/>
      <c r="E716" s="12" t="s">
        <v>910</v>
      </c>
      <c r="F716" s="76">
        <v>207154</v>
      </c>
      <c r="G716" s="18">
        <f t="shared" si="88"/>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80"/>
        <v>0</v>
      </c>
    </row>
    <row r="717" spans="2:24" ht="63">
      <c r="B717" s="291"/>
      <c r="C717" s="291"/>
      <c r="D717" s="300"/>
      <c r="E717" s="12" t="s">
        <v>911</v>
      </c>
      <c r="F717" s="76">
        <v>336363</v>
      </c>
      <c r="G717" s="18">
        <f t="shared" si="88"/>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80"/>
        <v>0</v>
      </c>
    </row>
    <row r="718" spans="2:24" ht="63">
      <c r="B718" s="291"/>
      <c r="C718" s="291"/>
      <c r="D718" s="300"/>
      <c r="E718" s="12" t="s">
        <v>889</v>
      </c>
      <c r="F718" s="76">
        <v>409098</v>
      </c>
      <c r="G718" s="18">
        <f t="shared" si="88"/>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80"/>
        <v>0</v>
      </c>
    </row>
    <row r="719" spans="2:24" ht="63">
      <c r="B719" s="291"/>
      <c r="C719" s="291"/>
      <c r="D719" s="300"/>
      <c r="E719" s="12" t="s">
        <v>238</v>
      </c>
      <c r="F719" s="76">
        <v>499168</v>
      </c>
      <c r="G719" s="18">
        <f t="shared" si="88"/>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80"/>
        <v>0</v>
      </c>
    </row>
    <row r="720" spans="2:24" ht="78.75">
      <c r="B720" s="291"/>
      <c r="C720" s="291"/>
      <c r="D720" s="300"/>
      <c r="E720" s="12" t="s">
        <v>114</v>
      </c>
      <c r="F720" s="76">
        <v>248770</v>
      </c>
      <c r="G720" s="18">
        <f t="shared" si="88"/>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80"/>
        <v>0</v>
      </c>
    </row>
    <row r="721" spans="2:24" ht="63">
      <c r="B721" s="291"/>
      <c r="C721" s="291"/>
      <c r="D721" s="300"/>
      <c r="E721" s="12" t="s">
        <v>909</v>
      </c>
      <c r="F721" s="76">
        <v>1058633</v>
      </c>
      <c r="G721" s="18">
        <f t="shared" si="88"/>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t="shared" si="80"/>
        <v>182390.78</v>
      </c>
    </row>
    <row r="722" spans="2:24" ht="63">
      <c r="B722" s="291"/>
      <c r="C722" s="291"/>
      <c r="D722" s="300"/>
      <c r="E722" s="10" t="s">
        <v>753</v>
      </c>
      <c r="F722" s="76">
        <v>105000</v>
      </c>
      <c r="G722" s="18">
        <f t="shared" si="88"/>
        <v>1</v>
      </c>
      <c r="H722" s="224">
        <v>105000</v>
      </c>
      <c r="I722" s="255">
        <v>3132</v>
      </c>
      <c r="J722" s="9">
        <v>30000</v>
      </c>
      <c r="K722" s="49"/>
      <c r="L722" s="9">
        <v>30000</v>
      </c>
      <c r="M722" s="49"/>
      <c r="N722" s="49"/>
      <c r="O722" s="49"/>
      <c r="P722" s="49"/>
      <c r="Q722" s="49"/>
      <c r="R722" s="49"/>
      <c r="S722" s="49"/>
      <c r="T722" s="49"/>
      <c r="U722" s="49"/>
      <c r="V722" s="49"/>
      <c r="W722" s="49">
        <v>30000</v>
      </c>
      <c r="X722" s="40">
        <f t="shared" si="80"/>
        <v>0</v>
      </c>
    </row>
    <row r="723" spans="2:24" ht="47.25">
      <c r="B723" s="291"/>
      <c r="C723" s="291"/>
      <c r="D723" s="300"/>
      <c r="E723" s="130" t="s">
        <v>134</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80"/>
        <v>400</v>
      </c>
    </row>
    <row r="724" spans="2:24" ht="63">
      <c r="B724" s="291"/>
      <c r="C724" s="291"/>
      <c r="D724" s="300"/>
      <c r="E724" s="130" t="s">
        <v>298</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80"/>
        <v>55800.25</v>
      </c>
    </row>
    <row r="725" spans="2:24" ht="47.25">
      <c r="B725" s="291"/>
      <c r="C725" s="291"/>
      <c r="D725" s="300"/>
      <c r="E725" s="130" t="s">
        <v>510</v>
      </c>
      <c r="F725" s="66"/>
      <c r="G725" s="18"/>
      <c r="H725" s="218"/>
      <c r="I725" s="255">
        <v>3132</v>
      </c>
      <c r="J725" s="66">
        <v>150000</v>
      </c>
      <c r="K725" s="49"/>
      <c r="L725" s="49"/>
      <c r="M725" s="49"/>
      <c r="N725" s="49"/>
      <c r="O725" s="49"/>
      <c r="P725" s="49"/>
      <c r="Q725" s="49"/>
      <c r="R725" s="49"/>
      <c r="S725" s="49">
        <v>150000</v>
      </c>
      <c r="T725" s="49"/>
      <c r="U725" s="49"/>
      <c r="V725" s="49"/>
      <c r="W725" s="49"/>
      <c r="X725" s="40">
        <f t="shared" si="80"/>
        <v>150000</v>
      </c>
    </row>
    <row r="726" spans="2:24" ht="47.25">
      <c r="B726" s="291"/>
      <c r="C726" s="291"/>
      <c r="D726" s="300"/>
      <c r="E726" s="130" t="s">
        <v>280</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80"/>
        <v>35024</v>
      </c>
    </row>
    <row r="727" spans="2:24" ht="63">
      <c r="B727" s="291"/>
      <c r="C727" s="291"/>
      <c r="D727" s="300"/>
      <c r="E727" s="130" t="s">
        <v>489</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80"/>
        <v>137.68000000000006</v>
      </c>
    </row>
    <row r="728" spans="2:24" ht="31.5">
      <c r="B728" s="291"/>
      <c r="C728" s="291"/>
      <c r="D728" s="300"/>
      <c r="E728" s="130" t="s">
        <v>286</v>
      </c>
      <c r="F728" s="66"/>
      <c r="G728" s="18"/>
      <c r="H728" s="218"/>
      <c r="I728" s="255">
        <v>3132</v>
      </c>
      <c r="J728" s="66">
        <v>24000</v>
      </c>
      <c r="K728" s="49"/>
      <c r="L728" s="49"/>
      <c r="M728" s="49"/>
      <c r="N728" s="49"/>
      <c r="O728" s="49"/>
      <c r="P728" s="49"/>
      <c r="Q728" s="49"/>
      <c r="R728" s="49"/>
      <c r="S728" s="49"/>
      <c r="T728" s="49"/>
      <c r="U728" s="49">
        <v>24000</v>
      </c>
      <c r="V728" s="49"/>
      <c r="W728" s="49"/>
      <c r="X728" s="40">
        <f t="shared" si="80"/>
        <v>24000</v>
      </c>
    </row>
    <row r="729" spans="2:24" ht="47.25">
      <c r="B729" s="292"/>
      <c r="C729" s="292"/>
      <c r="D729" s="301"/>
      <c r="E729" s="130" t="s">
        <v>912</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v>7196.4</v>
      </c>
      <c r="X729" s="40">
        <f t="shared" si="80"/>
        <v>192803.6</v>
      </c>
    </row>
    <row r="730" spans="2:24" ht="15.75">
      <c r="B730" s="290" t="s">
        <v>124</v>
      </c>
      <c r="C730" s="290" t="s">
        <v>827</v>
      </c>
      <c r="D730" s="299" t="s">
        <v>473</v>
      </c>
      <c r="E730" s="94"/>
      <c r="F730" s="76"/>
      <c r="G730" s="99"/>
      <c r="H730" s="224"/>
      <c r="I730" s="255"/>
      <c r="J730" s="211">
        <f>J731</f>
        <v>1502.62</v>
      </c>
      <c r="K730" s="211">
        <f aca="true" t="shared" si="89" ref="K730:W730">K731</f>
        <v>0</v>
      </c>
      <c r="L730" s="211">
        <f t="shared" si="89"/>
        <v>1502.62</v>
      </c>
      <c r="M730" s="211">
        <f t="shared" si="89"/>
        <v>0</v>
      </c>
      <c r="N730" s="211">
        <f t="shared" si="89"/>
        <v>0</v>
      </c>
      <c r="O730" s="211">
        <f t="shared" si="89"/>
        <v>0</v>
      </c>
      <c r="P730" s="211">
        <f t="shared" si="89"/>
        <v>0</v>
      </c>
      <c r="Q730" s="211">
        <f t="shared" si="89"/>
        <v>0</v>
      </c>
      <c r="R730" s="211">
        <f t="shared" si="89"/>
        <v>0</v>
      </c>
      <c r="S730" s="211">
        <f t="shared" si="89"/>
        <v>0</v>
      </c>
      <c r="T730" s="211">
        <f t="shared" si="89"/>
        <v>0</v>
      </c>
      <c r="U730" s="211">
        <f t="shared" si="89"/>
        <v>0</v>
      </c>
      <c r="V730" s="211">
        <f t="shared" si="89"/>
        <v>0</v>
      </c>
      <c r="W730" s="211">
        <f t="shared" si="89"/>
        <v>1502.62</v>
      </c>
      <c r="X730" s="184">
        <f t="shared" si="80"/>
        <v>0</v>
      </c>
    </row>
    <row r="731" spans="2:24" ht="110.25">
      <c r="B731" s="292"/>
      <c r="C731" s="292"/>
      <c r="D731" s="301"/>
      <c r="E731" s="10" t="s">
        <v>769</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80"/>
        <v>0</v>
      </c>
    </row>
    <row r="732" spans="2:24" ht="15.75">
      <c r="B732" s="288" t="s">
        <v>892</v>
      </c>
      <c r="C732" s="288" t="s">
        <v>885</v>
      </c>
      <c r="D732" s="299" t="s">
        <v>17</v>
      </c>
      <c r="E732" s="131"/>
      <c r="F732" s="102"/>
      <c r="G732" s="132"/>
      <c r="H732" s="241"/>
      <c r="I732" s="255"/>
      <c r="J732" s="211">
        <f>J733</f>
        <v>100000</v>
      </c>
      <c r="K732" s="211">
        <f aca="true" t="shared" si="90" ref="K732:W732">K733</f>
        <v>0</v>
      </c>
      <c r="L732" s="211">
        <f t="shared" si="90"/>
        <v>0</v>
      </c>
      <c r="M732" s="211">
        <f t="shared" si="90"/>
        <v>0</v>
      </c>
      <c r="N732" s="211">
        <f t="shared" si="90"/>
        <v>0</v>
      </c>
      <c r="O732" s="211">
        <f t="shared" si="90"/>
        <v>0</v>
      </c>
      <c r="P732" s="211">
        <f t="shared" si="90"/>
        <v>50000</v>
      </c>
      <c r="Q732" s="211">
        <f t="shared" si="90"/>
        <v>0</v>
      </c>
      <c r="R732" s="211">
        <f t="shared" si="90"/>
        <v>0</v>
      </c>
      <c r="S732" s="211">
        <f t="shared" si="90"/>
        <v>50000</v>
      </c>
      <c r="T732" s="211">
        <f t="shared" si="90"/>
        <v>0</v>
      </c>
      <c r="U732" s="211">
        <f t="shared" si="90"/>
        <v>0</v>
      </c>
      <c r="V732" s="211">
        <f t="shared" si="90"/>
        <v>0</v>
      </c>
      <c r="W732" s="211">
        <f t="shared" si="90"/>
        <v>0</v>
      </c>
      <c r="X732" s="184">
        <f t="shared" si="80"/>
        <v>100000</v>
      </c>
    </row>
    <row r="733" spans="2:24" ht="63">
      <c r="B733" s="293"/>
      <c r="C733" s="293"/>
      <c r="D733" s="300"/>
      <c r="E733" s="130" t="s">
        <v>913</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80"/>
        <v>100000</v>
      </c>
    </row>
    <row r="734" spans="2:24" ht="15.75">
      <c r="B734" s="290" t="s">
        <v>884</v>
      </c>
      <c r="C734" s="290" t="s">
        <v>887</v>
      </c>
      <c r="D734" s="299" t="s">
        <v>703</v>
      </c>
      <c r="E734" s="94"/>
      <c r="F734" s="76"/>
      <c r="G734" s="99"/>
      <c r="H734" s="224"/>
      <c r="I734" s="255"/>
      <c r="J734" s="211">
        <f>SUM(J735:J738)</f>
        <v>16862</v>
      </c>
      <c r="K734" s="211">
        <f aca="true" t="shared" si="91" ref="K734:W734">SUM(K735:K738)</f>
        <v>0</v>
      </c>
      <c r="L734" s="211">
        <f t="shared" si="91"/>
        <v>5862</v>
      </c>
      <c r="M734" s="211">
        <f t="shared" si="91"/>
        <v>0</v>
      </c>
      <c r="N734" s="211">
        <f t="shared" si="91"/>
        <v>0</v>
      </c>
      <c r="O734" s="211">
        <f t="shared" si="91"/>
        <v>30000</v>
      </c>
      <c r="P734" s="211">
        <f t="shared" si="91"/>
        <v>-19000</v>
      </c>
      <c r="Q734" s="211">
        <f t="shared" si="91"/>
        <v>0</v>
      </c>
      <c r="R734" s="211">
        <f t="shared" si="91"/>
        <v>0</v>
      </c>
      <c r="S734" s="211">
        <f t="shared" si="91"/>
        <v>0</v>
      </c>
      <c r="T734" s="211">
        <f t="shared" si="91"/>
        <v>0</v>
      </c>
      <c r="U734" s="211">
        <f t="shared" si="91"/>
        <v>0</v>
      </c>
      <c r="V734" s="211">
        <f t="shared" si="91"/>
        <v>0</v>
      </c>
      <c r="W734" s="211">
        <f t="shared" si="91"/>
        <v>15720.16</v>
      </c>
      <c r="X734" s="184">
        <f t="shared" si="80"/>
        <v>1141.8400000000001</v>
      </c>
    </row>
    <row r="735" spans="2:24" ht="78.75">
      <c r="B735" s="291"/>
      <c r="C735" s="291"/>
      <c r="D735" s="300"/>
      <c r="E735" s="12" t="s">
        <v>629</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80"/>
        <v>0</v>
      </c>
    </row>
    <row r="736" spans="2:24" ht="78.75">
      <c r="B736" s="291"/>
      <c r="C736" s="291"/>
      <c r="D736" s="300"/>
      <c r="E736" s="10" t="s">
        <v>903</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80"/>
        <v>0</v>
      </c>
    </row>
    <row r="737" spans="2:24" ht="63">
      <c r="B737" s="291"/>
      <c r="C737" s="291"/>
      <c r="D737" s="300"/>
      <c r="E737" s="10" t="s">
        <v>914</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80"/>
        <v>720.3099999999995</v>
      </c>
    </row>
    <row r="738" spans="2:24" ht="63">
      <c r="B738" s="292"/>
      <c r="C738" s="292"/>
      <c r="D738" s="301"/>
      <c r="E738" s="130" t="s">
        <v>233</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80"/>
        <v>421.53</v>
      </c>
    </row>
    <row r="739" spans="2:24" ht="15.75">
      <c r="B739" s="290" t="s">
        <v>370</v>
      </c>
      <c r="C739" s="290" t="s">
        <v>372</v>
      </c>
      <c r="D739" s="299" t="s">
        <v>374</v>
      </c>
      <c r="E739" s="94"/>
      <c r="F739" s="76"/>
      <c r="G739" s="99"/>
      <c r="H739" s="224"/>
      <c r="I739" s="255"/>
      <c r="J739" s="211">
        <f>SUM(J740:J742)</f>
        <v>110825.45</v>
      </c>
      <c r="K739" s="211">
        <f aca="true" t="shared" si="92" ref="K739:W739">SUM(K740:K742)</f>
        <v>0</v>
      </c>
      <c r="L739" s="211">
        <f t="shared" si="92"/>
        <v>108825.45</v>
      </c>
      <c r="M739" s="211">
        <f t="shared" si="92"/>
        <v>0</v>
      </c>
      <c r="N739" s="211">
        <f t="shared" si="92"/>
        <v>0</v>
      </c>
      <c r="O739" s="211">
        <f t="shared" si="92"/>
        <v>15000</v>
      </c>
      <c r="P739" s="211">
        <f t="shared" si="92"/>
        <v>-13000</v>
      </c>
      <c r="Q739" s="211">
        <f t="shared" si="92"/>
        <v>0</v>
      </c>
      <c r="R739" s="211">
        <f t="shared" si="92"/>
        <v>0</v>
      </c>
      <c r="S739" s="211">
        <f t="shared" si="92"/>
        <v>0</v>
      </c>
      <c r="T739" s="211">
        <f t="shared" si="92"/>
        <v>0</v>
      </c>
      <c r="U739" s="211">
        <f t="shared" si="92"/>
        <v>0</v>
      </c>
      <c r="V739" s="211">
        <f t="shared" si="92"/>
        <v>0</v>
      </c>
      <c r="W739" s="211">
        <f t="shared" si="92"/>
        <v>110289.83</v>
      </c>
      <c r="X739" s="184">
        <f t="shared" si="80"/>
        <v>535.6199999999953</v>
      </c>
    </row>
    <row r="740" spans="2:24" ht="78.75">
      <c r="B740" s="291"/>
      <c r="C740" s="291"/>
      <c r="D740" s="300"/>
      <c r="E740" s="12" t="s">
        <v>830</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80"/>
        <v>0</v>
      </c>
    </row>
    <row r="741" spans="2:24" ht="78.75">
      <c r="B741" s="291"/>
      <c r="C741" s="291"/>
      <c r="D741" s="300"/>
      <c r="E741" s="12" t="s">
        <v>904</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80"/>
        <v>0</v>
      </c>
    </row>
    <row r="742" spans="2:24" ht="63">
      <c r="B742" s="292"/>
      <c r="C742" s="292"/>
      <c r="D742" s="301"/>
      <c r="E742" s="130" t="s">
        <v>424</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80"/>
        <v>535.6199999999999</v>
      </c>
    </row>
    <row r="743" spans="2:24" ht="15.75">
      <c r="B743" s="290" t="s">
        <v>73</v>
      </c>
      <c r="C743" s="290" t="s">
        <v>74</v>
      </c>
      <c r="D743" s="299" t="s">
        <v>376</v>
      </c>
      <c r="E743" s="94"/>
      <c r="F743" s="76"/>
      <c r="G743" s="99"/>
      <c r="H743" s="224"/>
      <c r="I743" s="255"/>
      <c r="J743" s="211">
        <f>SUM(J744:J794)</f>
        <v>9234573.84</v>
      </c>
      <c r="K743" s="211">
        <f aca="true" t="shared" si="93" ref="K743:W743">SUM(K744:K794)</f>
        <v>0</v>
      </c>
      <c r="L743" s="211">
        <f t="shared" si="93"/>
        <v>2384258.84</v>
      </c>
      <c r="M743" s="211">
        <f t="shared" si="93"/>
        <v>0</v>
      </c>
      <c r="N743" s="211">
        <f t="shared" si="93"/>
        <v>0</v>
      </c>
      <c r="O743" s="211">
        <f t="shared" si="93"/>
        <v>1267765</v>
      </c>
      <c r="P743" s="211">
        <f t="shared" si="93"/>
        <v>2326500</v>
      </c>
      <c r="Q743" s="211">
        <f t="shared" si="93"/>
        <v>1554000</v>
      </c>
      <c r="R743" s="211">
        <f t="shared" si="93"/>
        <v>1280000</v>
      </c>
      <c r="S743" s="211">
        <f t="shared" si="93"/>
        <v>786000</v>
      </c>
      <c r="T743" s="211">
        <f t="shared" si="93"/>
        <v>100000</v>
      </c>
      <c r="U743" s="211">
        <f t="shared" si="93"/>
        <v>-463950</v>
      </c>
      <c r="V743" s="211">
        <f t="shared" si="93"/>
        <v>0</v>
      </c>
      <c r="W743" s="211">
        <f t="shared" si="93"/>
        <v>6985620.339999998</v>
      </c>
      <c r="X743" s="184">
        <f t="shared" si="80"/>
        <v>2248953.500000002</v>
      </c>
    </row>
    <row r="744" spans="2:24" ht="78.75">
      <c r="B744" s="291"/>
      <c r="C744" s="291"/>
      <c r="D744" s="300"/>
      <c r="E744" s="19" t="s">
        <v>94</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80"/>
        <v>0</v>
      </c>
    </row>
    <row r="745" spans="2:24" ht="47.25">
      <c r="B745" s="291"/>
      <c r="C745" s="291"/>
      <c r="D745" s="300"/>
      <c r="E745" s="28" t="s">
        <v>189</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80"/>
        <v>0</v>
      </c>
    </row>
    <row r="746" spans="2:24" ht="63">
      <c r="B746" s="291"/>
      <c r="C746" s="291"/>
      <c r="D746" s="300"/>
      <c r="E746" s="10" t="s">
        <v>115</v>
      </c>
      <c r="F746" s="32">
        <v>307171</v>
      </c>
      <c r="G746" s="18">
        <f aca="true" t="shared" si="94"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80"/>
        <v>0</v>
      </c>
    </row>
    <row r="747" spans="2:24" ht="63">
      <c r="B747" s="291"/>
      <c r="C747" s="291"/>
      <c r="D747" s="300"/>
      <c r="E747" s="12" t="s">
        <v>116</v>
      </c>
      <c r="F747" s="32">
        <v>8189053</v>
      </c>
      <c r="G747" s="18">
        <f t="shared" si="94"/>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80"/>
        <v>0</v>
      </c>
    </row>
    <row r="748" spans="2:24" ht="110.25">
      <c r="B748" s="291"/>
      <c r="C748" s="291"/>
      <c r="D748" s="300"/>
      <c r="E748" s="33" t="s">
        <v>167</v>
      </c>
      <c r="F748" s="32">
        <v>661469</v>
      </c>
      <c r="G748" s="18">
        <f t="shared" si="94"/>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80"/>
        <v>0</v>
      </c>
    </row>
    <row r="749" spans="2:24" ht="63">
      <c r="B749" s="291"/>
      <c r="C749" s="291"/>
      <c r="D749" s="300"/>
      <c r="E749" s="10" t="s">
        <v>253</v>
      </c>
      <c r="F749" s="32">
        <v>317569</v>
      </c>
      <c r="G749" s="18">
        <f t="shared" si="94"/>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80"/>
        <v>0</v>
      </c>
    </row>
    <row r="750" spans="2:24" ht="63">
      <c r="B750" s="291"/>
      <c r="C750" s="291"/>
      <c r="D750" s="300"/>
      <c r="E750" s="12" t="s">
        <v>254</v>
      </c>
      <c r="F750" s="32">
        <v>387913</v>
      </c>
      <c r="G750" s="18">
        <f t="shared" si="94"/>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80"/>
        <v>0</v>
      </c>
    </row>
    <row r="751" spans="2:24" ht="78.75">
      <c r="B751" s="291"/>
      <c r="C751" s="291"/>
      <c r="D751" s="300"/>
      <c r="E751" s="10" t="s">
        <v>255</v>
      </c>
      <c r="F751" s="32">
        <v>232210</v>
      </c>
      <c r="G751" s="18">
        <f t="shared" si="94"/>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aca="true" t="shared" si="95" ref="X751:X814">K751+L751+M751+N751+O751+P751+Q751+R751+S751+T751+U751-W751</f>
        <v>0</v>
      </c>
    </row>
    <row r="752" spans="2:24" ht="78.75">
      <c r="B752" s="291"/>
      <c r="C752" s="291"/>
      <c r="D752" s="300"/>
      <c r="E752" s="12" t="s">
        <v>905</v>
      </c>
      <c r="F752" s="32">
        <v>652288</v>
      </c>
      <c r="G752" s="18">
        <f t="shared" si="94"/>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5"/>
        <v>0</v>
      </c>
    </row>
    <row r="753" spans="2:24" ht="78.75">
      <c r="B753" s="291"/>
      <c r="C753" s="291"/>
      <c r="D753" s="300"/>
      <c r="E753" s="12" t="s">
        <v>256</v>
      </c>
      <c r="F753" s="32">
        <v>1012912</v>
      </c>
      <c r="G753" s="18">
        <f t="shared" si="94"/>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5"/>
        <v>0</v>
      </c>
    </row>
    <row r="754" spans="2:24" ht="78.75">
      <c r="B754" s="291"/>
      <c r="C754" s="291"/>
      <c r="D754" s="300"/>
      <c r="E754" s="34" t="s">
        <v>350</v>
      </c>
      <c r="F754" s="32">
        <v>64529</v>
      </c>
      <c r="G754" s="18">
        <f t="shared" si="94"/>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5"/>
        <v>0</v>
      </c>
    </row>
    <row r="755" spans="2:24" ht="63">
      <c r="B755" s="291"/>
      <c r="C755" s="291"/>
      <c r="D755" s="300"/>
      <c r="E755" s="33" t="s">
        <v>874</v>
      </c>
      <c r="F755" s="32">
        <v>68416</v>
      </c>
      <c r="G755" s="18">
        <f t="shared" si="94"/>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5"/>
        <v>0</v>
      </c>
    </row>
    <row r="756" spans="2:24" ht="63">
      <c r="B756" s="291"/>
      <c r="C756" s="291"/>
      <c r="D756" s="300"/>
      <c r="E756" s="33" t="s">
        <v>875</v>
      </c>
      <c r="F756" s="32">
        <v>97504</v>
      </c>
      <c r="G756" s="18">
        <f t="shared" si="94"/>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5"/>
        <v>0</v>
      </c>
    </row>
    <row r="757" spans="2:24" ht="63">
      <c r="B757" s="291"/>
      <c r="C757" s="291"/>
      <c r="D757" s="300"/>
      <c r="E757" s="33" t="s">
        <v>214</v>
      </c>
      <c r="F757" s="32">
        <v>156612</v>
      </c>
      <c r="G757" s="18">
        <f t="shared" si="94"/>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5"/>
        <v>0</v>
      </c>
    </row>
    <row r="758" spans="2:24" ht="47.25">
      <c r="B758" s="291"/>
      <c r="C758" s="291"/>
      <c r="D758" s="300"/>
      <c r="E758" s="33" t="s">
        <v>215</v>
      </c>
      <c r="F758" s="32">
        <v>8707339</v>
      </c>
      <c r="G758" s="18">
        <f t="shared" si="94"/>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5"/>
        <v>0</v>
      </c>
    </row>
    <row r="759" spans="2:24" ht="63">
      <c r="B759" s="291"/>
      <c r="C759" s="291"/>
      <c r="D759" s="300"/>
      <c r="E759" s="33" t="s">
        <v>812</v>
      </c>
      <c r="F759" s="32">
        <v>1227000</v>
      </c>
      <c r="G759" s="18">
        <f t="shared" si="94"/>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5"/>
        <v>0</v>
      </c>
    </row>
    <row r="760" spans="2:24" ht="47.25">
      <c r="B760" s="291"/>
      <c r="C760" s="291"/>
      <c r="D760" s="300"/>
      <c r="E760" s="33" t="s">
        <v>813</v>
      </c>
      <c r="F760" s="32">
        <v>81916</v>
      </c>
      <c r="G760" s="18">
        <f t="shared" si="94"/>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5"/>
        <v>0</v>
      </c>
    </row>
    <row r="761" spans="2:24" ht="78.75">
      <c r="B761" s="291"/>
      <c r="C761" s="291"/>
      <c r="D761" s="300"/>
      <c r="E761" s="33" t="s">
        <v>142</v>
      </c>
      <c r="F761" s="32">
        <v>512000</v>
      </c>
      <c r="G761" s="18">
        <f t="shared" si="94"/>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5"/>
        <v>0</v>
      </c>
    </row>
    <row r="762" spans="2:24" ht="31.5">
      <c r="B762" s="291"/>
      <c r="C762" s="291"/>
      <c r="D762" s="300"/>
      <c r="E762" s="33" t="s">
        <v>425</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f>
        <v>312414.98</v>
      </c>
      <c r="X762" s="40">
        <f t="shared" si="95"/>
        <v>5585.020000000019</v>
      </c>
    </row>
    <row r="763" spans="2:24" ht="31.5">
      <c r="B763" s="291"/>
      <c r="C763" s="291"/>
      <c r="D763" s="300"/>
      <c r="E763" s="33" t="s">
        <v>531</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f>
        <v>299423.54000000004</v>
      </c>
      <c r="X763" s="40">
        <f t="shared" si="95"/>
        <v>18576.459999999963</v>
      </c>
    </row>
    <row r="764" spans="2:24" ht="47.25">
      <c r="B764" s="291"/>
      <c r="C764" s="291"/>
      <c r="D764" s="300"/>
      <c r="E764" s="33" t="s">
        <v>532</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f>
        <v>165865.62</v>
      </c>
      <c r="X764" s="40">
        <f t="shared" si="95"/>
        <v>158134.38</v>
      </c>
    </row>
    <row r="765" spans="2:24" ht="31.5">
      <c r="B765" s="291"/>
      <c r="C765" s="291"/>
      <c r="D765" s="300"/>
      <c r="E765" s="33" t="s">
        <v>533</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f>
        <v>237613.46</v>
      </c>
      <c r="X765" s="40">
        <f t="shared" si="95"/>
        <v>154386.54</v>
      </c>
    </row>
    <row r="766" spans="2:24" ht="31.5">
      <c r="B766" s="291"/>
      <c r="C766" s="291"/>
      <c r="D766" s="300"/>
      <c r="E766" s="33" t="s">
        <v>534</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f>
        <v>138804.91</v>
      </c>
      <c r="X766" s="40">
        <f t="shared" si="95"/>
        <v>1195.0899999999965</v>
      </c>
    </row>
    <row r="767" spans="2:24" ht="47.25">
      <c r="B767" s="291"/>
      <c r="C767" s="291"/>
      <c r="D767" s="300"/>
      <c r="E767" s="33" t="s">
        <v>535</v>
      </c>
      <c r="F767" s="32"/>
      <c r="G767" s="18"/>
      <c r="H767" s="242"/>
      <c r="I767" s="259">
        <v>3142</v>
      </c>
      <c r="J767" s="9">
        <f>41000+3000</f>
        <v>44000</v>
      </c>
      <c r="K767" s="49"/>
      <c r="L767" s="49"/>
      <c r="M767" s="49"/>
      <c r="N767" s="49"/>
      <c r="O767" s="49">
        <v>41000</v>
      </c>
      <c r="P767" s="49">
        <v>3000</v>
      </c>
      <c r="Q767" s="49"/>
      <c r="R767" s="49"/>
      <c r="S767" s="49"/>
      <c r="T767" s="49"/>
      <c r="U767" s="49"/>
      <c r="V767" s="49"/>
      <c r="W767" s="49">
        <f>41784</f>
        <v>41784</v>
      </c>
      <c r="X767" s="40">
        <f t="shared" si="95"/>
        <v>2216</v>
      </c>
    </row>
    <row r="768" spans="2:24" ht="47.25">
      <c r="B768" s="291"/>
      <c r="C768" s="291"/>
      <c r="D768" s="300"/>
      <c r="E768" s="33" t="s">
        <v>36</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5"/>
        <v>59535.25</v>
      </c>
    </row>
    <row r="769" spans="2:24" ht="47.25">
      <c r="B769" s="291"/>
      <c r="C769" s="291"/>
      <c r="D769" s="300"/>
      <c r="E769" s="33" t="s">
        <v>544</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5"/>
        <v>98151.01</v>
      </c>
    </row>
    <row r="770" spans="2:24" ht="47.25">
      <c r="B770" s="291"/>
      <c r="C770" s="291"/>
      <c r="D770" s="300"/>
      <c r="E770" s="10" t="s">
        <v>545</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5"/>
        <v>131243.34</v>
      </c>
    </row>
    <row r="771" spans="2:24" ht="47.25">
      <c r="B771" s="291"/>
      <c r="C771" s="291"/>
      <c r="D771" s="300"/>
      <c r="E771" s="10" t="s">
        <v>546</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5"/>
        <v>5601.219999999972</v>
      </c>
    </row>
    <row r="772" spans="2:24" ht="47.25">
      <c r="B772" s="291"/>
      <c r="C772" s="291"/>
      <c r="D772" s="300"/>
      <c r="E772" s="10" t="s">
        <v>685</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5"/>
        <v>113161.13</v>
      </c>
    </row>
    <row r="773" spans="2:24" ht="47.25">
      <c r="B773" s="291"/>
      <c r="C773" s="291"/>
      <c r="D773" s="300"/>
      <c r="E773" s="10" t="s">
        <v>686</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5"/>
        <v>270000</v>
      </c>
    </row>
    <row r="774" spans="2:24" ht="31.5" hidden="1">
      <c r="B774" s="291"/>
      <c r="C774" s="291"/>
      <c r="D774" s="300"/>
      <c r="E774" s="10" t="s">
        <v>687</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5"/>
        <v>0</v>
      </c>
    </row>
    <row r="775" spans="2:24" ht="47.25">
      <c r="B775" s="291"/>
      <c r="C775" s="291"/>
      <c r="D775" s="300"/>
      <c r="E775" s="10" t="s">
        <v>688</v>
      </c>
      <c r="F775" s="32"/>
      <c r="G775" s="18"/>
      <c r="H775" s="242"/>
      <c r="I775" s="259">
        <v>3142</v>
      </c>
      <c r="J775" s="9">
        <v>115000</v>
      </c>
      <c r="K775" s="49"/>
      <c r="L775" s="49"/>
      <c r="M775" s="49"/>
      <c r="N775" s="49"/>
      <c r="O775" s="49"/>
      <c r="P775" s="49"/>
      <c r="Q775" s="49"/>
      <c r="R775" s="49">
        <v>115000</v>
      </c>
      <c r="S775" s="49"/>
      <c r="T775" s="49"/>
      <c r="U775" s="49"/>
      <c r="V775" s="49"/>
      <c r="W775" s="49"/>
      <c r="X775" s="40">
        <f t="shared" si="95"/>
        <v>115000</v>
      </c>
    </row>
    <row r="776" spans="2:24" ht="63">
      <c r="B776" s="291"/>
      <c r="C776" s="291"/>
      <c r="D776" s="300"/>
      <c r="E776" s="130" t="s">
        <v>689</v>
      </c>
      <c r="F776" s="32">
        <v>1017000</v>
      </c>
      <c r="G776" s="18">
        <f t="shared" si="94"/>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5"/>
        <v>19381.339999999967</v>
      </c>
    </row>
    <row r="777" spans="2:24" ht="47.25">
      <c r="B777" s="291"/>
      <c r="C777" s="291"/>
      <c r="D777" s="300"/>
      <c r="E777" s="130" t="s">
        <v>690</v>
      </c>
      <c r="F777" s="66">
        <v>300000</v>
      </c>
      <c r="G777" s="18">
        <f t="shared" si="94"/>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5"/>
        <v>276861.23</v>
      </c>
    </row>
    <row r="778" spans="2:24" ht="63">
      <c r="B778" s="291"/>
      <c r="C778" s="291"/>
      <c r="D778" s="300"/>
      <c r="E778" s="130" t="s">
        <v>691</v>
      </c>
      <c r="F778" s="66">
        <v>232210</v>
      </c>
      <c r="G778" s="18">
        <f t="shared" si="94"/>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5"/>
        <v>19579</v>
      </c>
    </row>
    <row r="779" spans="2:24" ht="31.5">
      <c r="B779" s="291"/>
      <c r="C779" s="291"/>
      <c r="D779" s="300"/>
      <c r="E779" s="130" t="s">
        <v>194</v>
      </c>
      <c r="F779" s="66">
        <v>49684</v>
      </c>
      <c r="G779" s="18">
        <f t="shared" si="94"/>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5"/>
        <v>24000</v>
      </c>
    </row>
    <row r="780" spans="2:24" ht="78.75">
      <c r="B780" s="291"/>
      <c r="C780" s="291"/>
      <c r="D780" s="300"/>
      <c r="E780" s="130" t="s">
        <v>388</v>
      </c>
      <c r="F780" s="66">
        <v>70000</v>
      </c>
      <c r="G780" s="18">
        <f t="shared" si="94"/>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5"/>
        <v>16847.190000000002</v>
      </c>
    </row>
    <row r="781" spans="2:24" ht="78.75">
      <c r="B781" s="291"/>
      <c r="C781" s="291"/>
      <c r="D781" s="300"/>
      <c r="E781" s="130" t="s">
        <v>387</v>
      </c>
      <c r="F781" s="66">
        <v>80000</v>
      </c>
      <c r="G781" s="18">
        <f t="shared" si="94"/>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5"/>
        <v>13266.75</v>
      </c>
    </row>
    <row r="782" spans="2:24" ht="47.25">
      <c r="B782" s="291"/>
      <c r="C782" s="291"/>
      <c r="D782" s="300"/>
      <c r="E782" s="130" t="s">
        <v>529</v>
      </c>
      <c r="F782" s="66">
        <v>97504</v>
      </c>
      <c r="G782" s="18">
        <f t="shared" si="94"/>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5"/>
        <v>49605.04</v>
      </c>
    </row>
    <row r="783" spans="2:24" ht="47.25">
      <c r="B783" s="291"/>
      <c r="C783" s="291"/>
      <c r="D783" s="300"/>
      <c r="E783" s="130" t="s">
        <v>530</v>
      </c>
      <c r="F783" s="66">
        <v>156612</v>
      </c>
      <c r="G783" s="18">
        <f t="shared" si="94"/>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5"/>
        <v>75787.36</v>
      </c>
    </row>
    <row r="784" spans="2:24" ht="47.25">
      <c r="B784" s="291"/>
      <c r="C784" s="291"/>
      <c r="D784" s="300"/>
      <c r="E784" s="130" t="s">
        <v>423</v>
      </c>
      <c r="F784" s="66">
        <v>65770</v>
      </c>
      <c r="G784" s="18">
        <f t="shared" si="94"/>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5"/>
        <v>15383.6</v>
      </c>
    </row>
    <row r="785" spans="2:24" ht="47.25">
      <c r="B785" s="291"/>
      <c r="C785" s="291"/>
      <c r="D785" s="300"/>
      <c r="E785" s="130" t="s">
        <v>461</v>
      </c>
      <c r="F785" s="66">
        <v>1227000</v>
      </c>
      <c r="G785" s="18">
        <f t="shared" si="94"/>
        <v>0.5783911980440097</v>
      </c>
      <c r="H785" s="218">
        <v>709686</v>
      </c>
      <c r="I785" s="259">
        <v>3142</v>
      </c>
      <c r="J785" s="66">
        <v>209686</v>
      </c>
      <c r="K785" s="49"/>
      <c r="L785" s="49"/>
      <c r="M785" s="49"/>
      <c r="N785" s="49"/>
      <c r="O785" s="49">
        <v>209686</v>
      </c>
      <c r="P785" s="49"/>
      <c r="Q785" s="49"/>
      <c r="R785" s="49"/>
      <c r="S785" s="49"/>
      <c r="T785" s="49"/>
      <c r="U785" s="49"/>
      <c r="V785" s="49"/>
      <c r="W785" s="49"/>
      <c r="X785" s="40">
        <f t="shared" si="95"/>
        <v>209686</v>
      </c>
    </row>
    <row r="786" spans="2:24" ht="47.25">
      <c r="B786" s="291"/>
      <c r="C786" s="291"/>
      <c r="D786" s="300"/>
      <c r="E786" s="130" t="s">
        <v>197</v>
      </c>
      <c r="F786" s="66">
        <v>579976</v>
      </c>
      <c r="G786" s="18">
        <f t="shared" si="94"/>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f>
        <v>516920.98</v>
      </c>
      <c r="X786" s="40">
        <f t="shared" si="95"/>
        <v>2079.0200000000186</v>
      </c>
    </row>
    <row r="787" spans="2:24" ht="94.5">
      <c r="B787" s="291"/>
      <c r="C787" s="291"/>
      <c r="D787" s="300"/>
      <c r="E787" s="130" t="s">
        <v>850</v>
      </c>
      <c r="F787" s="66">
        <v>661469</v>
      </c>
      <c r="G787" s="18">
        <f t="shared" si="94"/>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5"/>
        <v>6590</v>
      </c>
    </row>
    <row r="788" spans="2:24" ht="31.5">
      <c r="B788" s="291"/>
      <c r="C788" s="291"/>
      <c r="D788" s="300"/>
      <c r="E788" s="130" t="s">
        <v>168</v>
      </c>
      <c r="F788" s="66">
        <v>81916</v>
      </c>
      <c r="G788" s="18">
        <f t="shared" si="94"/>
        <v>0.2807754284877191</v>
      </c>
      <c r="H788" s="218">
        <v>23000</v>
      </c>
      <c r="I788" s="259">
        <v>3142</v>
      </c>
      <c r="J788" s="66">
        <v>23000</v>
      </c>
      <c r="K788" s="49"/>
      <c r="L788" s="49"/>
      <c r="M788" s="49"/>
      <c r="N788" s="49"/>
      <c r="O788" s="49"/>
      <c r="P788" s="49">
        <v>23000</v>
      </c>
      <c r="Q788" s="49"/>
      <c r="R788" s="49"/>
      <c r="S788" s="49"/>
      <c r="T788" s="49"/>
      <c r="U788" s="49"/>
      <c r="V788" s="49"/>
      <c r="W788" s="49">
        <f>10618</f>
        <v>10618</v>
      </c>
      <c r="X788" s="40">
        <f t="shared" si="95"/>
        <v>12382</v>
      </c>
    </row>
    <row r="789" spans="2:24" ht="63">
      <c r="B789" s="291"/>
      <c r="C789" s="291"/>
      <c r="D789" s="300"/>
      <c r="E789" s="130" t="s">
        <v>752</v>
      </c>
      <c r="F789" s="66">
        <v>652288</v>
      </c>
      <c r="G789" s="18">
        <f t="shared" si="94"/>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f>
        <v>280119.31</v>
      </c>
      <c r="X789" s="40">
        <f t="shared" si="95"/>
        <v>217880.69</v>
      </c>
    </row>
    <row r="790" spans="2:24" ht="63">
      <c r="B790" s="291"/>
      <c r="C790" s="291"/>
      <c r="D790" s="300"/>
      <c r="E790" s="130" t="s">
        <v>49</v>
      </c>
      <c r="F790" s="66"/>
      <c r="G790" s="18"/>
      <c r="H790" s="218"/>
      <c r="I790" s="259">
        <v>3142</v>
      </c>
      <c r="J790" s="66">
        <v>50000</v>
      </c>
      <c r="K790" s="49"/>
      <c r="L790" s="49"/>
      <c r="M790" s="49"/>
      <c r="N790" s="49"/>
      <c r="O790" s="49"/>
      <c r="P790" s="49"/>
      <c r="Q790" s="49"/>
      <c r="R790" s="49">
        <v>50000</v>
      </c>
      <c r="S790" s="49"/>
      <c r="T790" s="49"/>
      <c r="U790" s="49"/>
      <c r="V790" s="49"/>
      <c r="W790" s="49"/>
      <c r="X790" s="40">
        <f t="shared" si="95"/>
        <v>50000</v>
      </c>
    </row>
    <row r="791" spans="2:24" ht="63">
      <c r="B791" s="291"/>
      <c r="C791" s="291"/>
      <c r="D791" s="300"/>
      <c r="E791" s="130" t="s">
        <v>573</v>
      </c>
      <c r="F791" s="66">
        <v>1012912</v>
      </c>
      <c r="G791" s="18">
        <f t="shared" si="94"/>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5"/>
        <v>1872.359999999986</v>
      </c>
    </row>
    <row r="792" spans="2:24" ht="78.75" hidden="1">
      <c r="B792" s="291"/>
      <c r="C792" s="291"/>
      <c r="D792" s="300"/>
      <c r="E792" s="10" t="s">
        <v>656</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5"/>
        <v>0</v>
      </c>
    </row>
    <row r="793" spans="2:24" ht="94.5">
      <c r="B793" s="291"/>
      <c r="C793" s="291"/>
      <c r="D793" s="300"/>
      <c r="E793" s="10" t="s">
        <v>574</v>
      </c>
      <c r="F793" s="49"/>
      <c r="G793" s="18"/>
      <c r="H793" s="220"/>
      <c r="I793" s="259">
        <v>3210</v>
      </c>
      <c r="J793" s="21">
        <v>100000</v>
      </c>
      <c r="K793" s="49"/>
      <c r="L793" s="49"/>
      <c r="M793" s="49"/>
      <c r="N793" s="49"/>
      <c r="O793" s="49"/>
      <c r="P793" s="49"/>
      <c r="Q793" s="49">
        <v>100000</v>
      </c>
      <c r="R793" s="49"/>
      <c r="S793" s="49"/>
      <c r="T793" s="49"/>
      <c r="U793" s="49"/>
      <c r="V793" s="49"/>
      <c r="W793" s="49"/>
      <c r="X793" s="40">
        <f t="shared" si="95"/>
        <v>100000</v>
      </c>
    </row>
    <row r="794" spans="2:24" ht="47.25">
      <c r="B794" s="291"/>
      <c r="C794" s="291"/>
      <c r="D794" s="300"/>
      <c r="E794" s="10" t="s">
        <v>575</v>
      </c>
      <c r="F794" s="49">
        <v>198427</v>
      </c>
      <c r="G794" s="18">
        <f t="shared" si="94"/>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5"/>
        <v>4966.479999999996</v>
      </c>
    </row>
    <row r="795" spans="2:24" ht="15.75">
      <c r="B795" s="290" t="s">
        <v>205</v>
      </c>
      <c r="C795" s="290" t="s">
        <v>121</v>
      </c>
      <c r="D795" s="299" t="s">
        <v>876</v>
      </c>
      <c r="E795" s="94"/>
      <c r="F795" s="76"/>
      <c r="G795" s="18"/>
      <c r="H795" s="224"/>
      <c r="I795" s="255"/>
      <c r="J795" s="211">
        <f>SUM(J796:J800)</f>
        <v>1208797.73</v>
      </c>
      <c r="K795" s="211">
        <f aca="true" t="shared" si="96" ref="K795:W795">SUM(K796:K800)</f>
        <v>0</v>
      </c>
      <c r="L795" s="211">
        <f t="shared" si="96"/>
        <v>99297.73</v>
      </c>
      <c r="M795" s="211">
        <f t="shared" si="96"/>
        <v>0</v>
      </c>
      <c r="N795" s="211">
        <f t="shared" si="96"/>
        <v>0</v>
      </c>
      <c r="O795" s="211">
        <f t="shared" si="96"/>
        <v>561000</v>
      </c>
      <c r="P795" s="211">
        <f t="shared" si="96"/>
        <v>280000</v>
      </c>
      <c r="Q795" s="211">
        <f t="shared" si="96"/>
        <v>109000</v>
      </c>
      <c r="R795" s="211">
        <f t="shared" si="96"/>
        <v>122000</v>
      </c>
      <c r="S795" s="211">
        <f t="shared" si="96"/>
        <v>0</v>
      </c>
      <c r="T795" s="211">
        <f t="shared" si="96"/>
        <v>37500</v>
      </c>
      <c r="U795" s="211">
        <f t="shared" si="96"/>
        <v>0</v>
      </c>
      <c r="V795" s="211">
        <f t="shared" si="96"/>
        <v>0</v>
      </c>
      <c r="W795" s="211">
        <f t="shared" si="96"/>
        <v>760837.96</v>
      </c>
      <c r="X795" s="184">
        <f t="shared" si="95"/>
        <v>447959.77</v>
      </c>
    </row>
    <row r="796" spans="2:24" ht="94.5">
      <c r="B796" s="291"/>
      <c r="C796" s="291"/>
      <c r="D796" s="300"/>
      <c r="E796" s="12" t="s">
        <v>95</v>
      </c>
      <c r="F796" s="32">
        <v>848844</v>
      </c>
      <c r="G796" s="18">
        <f t="shared" si="94"/>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5"/>
        <v>0</v>
      </c>
    </row>
    <row r="797" spans="2:24" ht="78.75">
      <c r="B797" s="291"/>
      <c r="C797" s="291"/>
      <c r="D797" s="300"/>
      <c r="E797" s="33" t="s">
        <v>536</v>
      </c>
      <c r="F797" s="32">
        <v>661770</v>
      </c>
      <c r="G797" s="18">
        <f t="shared" si="94"/>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5"/>
        <v>0</v>
      </c>
    </row>
    <row r="798" spans="2:24" ht="47.25">
      <c r="B798" s="291"/>
      <c r="C798" s="291"/>
      <c r="D798" s="300"/>
      <c r="E798" s="130" t="s">
        <v>576</v>
      </c>
      <c r="F798" s="66">
        <v>14330803</v>
      </c>
      <c r="G798" s="18">
        <f t="shared" si="94"/>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5"/>
        <v>147.77000000001863</v>
      </c>
    </row>
    <row r="799" spans="2:24" ht="78.75">
      <c r="B799" s="291"/>
      <c r="C799" s="291"/>
      <c r="D799" s="300"/>
      <c r="E799" s="130" t="s">
        <v>770</v>
      </c>
      <c r="F799" s="66">
        <v>848844</v>
      </c>
      <c r="G799" s="18">
        <f t="shared" si="94"/>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5"/>
        <v>437000</v>
      </c>
    </row>
    <row r="800" spans="2:24" ht="78.75">
      <c r="B800" s="292"/>
      <c r="C800" s="292"/>
      <c r="D800" s="301"/>
      <c r="E800" s="130" t="s">
        <v>389</v>
      </c>
      <c r="F800" s="66">
        <v>661770</v>
      </c>
      <c r="G800" s="18">
        <f t="shared" si="94"/>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5"/>
        <v>10812</v>
      </c>
    </row>
    <row r="801" spans="2:24" ht="15.75">
      <c r="B801" s="290" t="s">
        <v>273</v>
      </c>
      <c r="C801" s="290" t="s">
        <v>855</v>
      </c>
      <c r="D801" s="299" t="s">
        <v>274</v>
      </c>
      <c r="E801" s="94"/>
      <c r="F801" s="76"/>
      <c r="G801" s="18"/>
      <c r="H801" s="224"/>
      <c r="I801" s="255"/>
      <c r="J801" s="211">
        <f aca="true" t="shared" si="97" ref="J801:W801">SUM(J802:J852)</f>
        <v>35669517.96000001</v>
      </c>
      <c r="K801" s="211">
        <f t="shared" si="97"/>
        <v>0</v>
      </c>
      <c r="L801" s="211">
        <f t="shared" si="97"/>
        <v>471102.4199999999</v>
      </c>
      <c r="M801" s="211">
        <f t="shared" si="97"/>
        <v>0</v>
      </c>
      <c r="N801" s="211">
        <f t="shared" si="97"/>
        <v>0</v>
      </c>
      <c r="O801" s="211">
        <f t="shared" si="97"/>
        <v>446782.66000000003</v>
      </c>
      <c r="P801" s="211">
        <f t="shared" si="97"/>
        <v>2622872.3</v>
      </c>
      <c r="Q801" s="211">
        <f t="shared" si="97"/>
        <v>1808135.9700000002</v>
      </c>
      <c r="R801" s="211">
        <f t="shared" si="97"/>
        <v>8541948.33</v>
      </c>
      <c r="S801" s="211">
        <f t="shared" si="97"/>
        <v>13598346.28</v>
      </c>
      <c r="T801" s="211">
        <f t="shared" si="97"/>
        <v>7067000</v>
      </c>
      <c r="U801" s="211">
        <f t="shared" si="97"/>
        <v>1113330</v>
      </c>
      <c r="V801" s="211">
        <f t="shared" si="97"/>
        <v>0</v>
      </c>
      <c r="W801" s="211">
        <f t="shared" si="97"/>
        <v>8393543.52</v>
      </c>
      <c r="X801" s="184">
        <f t="shared" si="95"/>
        <v>27275974.44</v>
      </c>
    </row>
    <row r="802" spans="2:24" ht="63">
      <c r="B802" s="291"/>
      <c r="C802" s="291"/>
      <c r="D802" s="300"/>
      <c r="E802" s="275" t="s">
        <v>195</v>
      </c>
      <c r="F802" s="32">
        <v>320536</v>
      </c>
      <c r="G802" s="18">
        <f t="shared" si="94"/>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5"/>
        <v>0</v>
      </c>
    </row>
    <row r="803" spans="2:24" ht="63">
      <c r="B803" s="291"/>
      <c r="C803" s="291"/>
      <c r="D803" s="300"/>
      <c r="E803" s="275" t="s">
        <v>894</v>
      </c>
      <c r="F803" s="32">
        <v>644198</v>
      </c>
      <c r="G803" s="18">
        <f t="shared" si="94"/>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5"/>
        <v>0</v>
      </c>
    </row>
    <row r="804" spans="2:24" ht="78.75">
      <c r="B804" s="291"/>
      <c r="C804" s="291"/>
      <c r="D804" s="300"/>
      <c r="E804" s="275" t="s">
        <v>895</v>
      </c>
      <c r="F804" s="35">
        <v>1089162</v>
      </c>
      <c r="G804" s="18">
        <f t="shared" si="94"/>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5"/>
        <v>0</v>
      </c>
    </row>
    <row r="805" spans="2:24" ht="63">
      <c r="B805" s="291"/>
      <c r="C805" s="291"/>
      <c r="D805" s="300"/>
      <c r="E805" s="275" t="s">
        <v>198</v>
      </c>
      <c r="F805" s="32">
        <v>273003</v>
      </c>
      <c r="G805" s="18">
        <f t="shared" si="94"/>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5"/>
        <v>0</v>
      </c>
    </row>
    <row r="806" spans="2:24" ht="31.5">
      <c r="B806" s="291"/>
      <c r="C806" s="291"/>
      <c r="D806" s="300"/>
      <c r="E806" s="275" t="s">
        <v>857</v>
      </c>
      <c r="F806" s="32">
        <v>51257653</v>
      </c>
      <c r="G806" s="18">
        <f t="shared" si="94"/>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5"/>
        <v>0</v>
      </c>
    </row>
    <row r="807" spans="2:24" ht="78.75">
      <c r="B807" s="291"/>
      <c r="C807" s="291"/>
      <c r="D807" s="300"/>
      <c r="E807" s="276" t="s">
        <v>428</v>
      </c>
      <c r="F807" s="32">
        <v>35450000</v>
      </c>
      <c r="G807" s="18">
        <f t="shared" si="94"/>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5"/>
        <v>0</v>
      </c>
    </row>
    <row r="808" spans="2:24" ht="78.75">
      <c r="B808" s="291"/>
      <c r="C808" s="291"/>
      <c r="D808" s="300"/>
      <c r="E808" s="277" t="s">
        <v>542</v>
      </c>
      <c r="F808" s="32">
        <v>129286</v>
      </c>
      <c r="G808" s="18">
        <f t="shared" si="94"/>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5"/>
        <v>0</v>
      </c>
    </row>
    <row r="809" spans="2:24" ht="78.75">
      <c r="B809" s="291"/>
      <c r="C809" s="291"/>
      <c r="D809" s="300"/>
      <c r="E809" s="277" t="s">
        <v>528</v>
      </c>
      <c r="F809" s="32">
        <v>138818</v>
      </c>
      <c r="G809" s="18">
        <f t="shared" si="94"/>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5"/>
        <v>0</v>
      </c>
    </row>
    <row r="810" spans="2:24" ht="78.75">
      <c r="B810" s="291"/>
      <c r="C810" s="291"/>
      <c r="D810" s="300"/>
      <c r="E810" s="277" t="s">
        <v>448</v>
      </c>
      <c r="F810" s="32">
        <v>133097</v>
      </c>
      <c r="G810" s="18">
        <f t="shared" si="94"/>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5"/>
        <v>0</v>
      </c>
    </row>
    <row r="811" spans="2:24" ht="78.75">
      <c r="B811" s="291"/>
      <c r="C811" s="291"/>
      <c r="D811" s="300"/>
      <c r="E811" s="277" t="s">
        <v>449</v>
      </c>
      <c r="F811" s="32">
        <v>127630</v>
      </c>
      <c r="G811" s="18">
        <f t="shared" si="94"/>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5"/>
        <v>0</v>
      </c>
    </row>
    <row r="812" spans="2:24" ht="78.75">
      <c r="B812" s="291"/>
      <c r="C812" s="291"/>
      <c r="D812" s="300"/>
      <c r="E812" s="277" t="s">
        <v>450</v>
      </c>
      <c r="F812" s="32">
        <v>244666</v>
      </c>
      <c r="G812" s="18">
        <f t="shared" si="94"/>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5"/>
        <v>0</v>
      </c>
    </row>
    <row r="813" spans="2:24" ht="94.5">
      <c r="B813" s="291"/>
      <c r="C813" s="291"/>
      <c r="D813" s="300"/>
      <c r="E813" s="277" t="s">
        <v>451</v>
      </c>
      <c r="F813" s="32">
        <v>363762</v>
      </c>
      <c r="G813" s="18">
        <f t="shared" si="94"/>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5"/>
        <v>0</v>
      </c>
    </row>
    <row r="814" spans="2:24" ht="110.25">
      <c r="B814" s="291"/>
      <c r="C814" s="291"/>
      <c r="D814" s="300"/>
      <c r="E814" s="277" t="s">
        <v>170</v>
      </c>
      <c r="F814" s="32">
        <v>1050150</v>
      </c>
      <c r="G814" s="18">
        <f t="shared" si="94"/>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5"/>
        <v>0</v>
      </c>
    </row>
    <row r="815" spans="2:24" ht="78.75">
      <c r="B815" s="291"/>
      <c r="C815" s="291"/>
      <c r="D815" s="300"/>
      <c r="E815" s="277" t="s">
        <v>837</v>
      </c>
      <c r="F815" s="32">
        <v>449549</v>
      </c>
      <c r="G815" s="18">
        <f t="shared" si="94"/>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aca="true" t="shared" si="98" ref="X815:X878">K815+L815+M815+N815+O815+P815+Q815+R815+S815+T815+U815-W815</f>
        <v>0</v>
      </c>
    </row>
    <row r="816" spans="2:24" ht="78.75">
      <c r="B816" s="291"/>
      <c r="C816" s="291"/>
      <c r="D816" s="300"/>
      <c r="E816" s="277" t="s">
        <v>838</v>
      </c>
      <c r="F816" s="32">
        <v>318479</v>
      </c>
      <c r="G816" s="18">
        <f t="shared" si="94"/>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8"/>
        <v>0</v>
      </c>
    </row>
    <row r="817" spans="2:24" ht="63">
      <c r="B817" s="291"/>
      <c r="C817" s="291"/>
      <c r="D817" s="300"/>
      <c r="E817" s="277" t="s">
        <v>839</v>
      </c>
      <c r="F817" s="32">
        <v>129286</v>
      </c>
      <c r="G817" s="18">
        <f t="shared" si="94"/>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8"/>
        <v>0</v>
      </c>
    </row>
    <row r="818" spans="2:24" ht="47.25">
      <c r="B818" s="291"/>
      <c r="C818" s="291"/>
      <c r="D818" s="300"/>
      <c r="E818" s="12" t="s">
        <v>771</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8"/>
        <v>885000</v>
      </c>
    </row>
    <row r="819" spans="2:24" ht="31.5">
      <c r="B819" s="291"/>
      <c r="C819" s="291"/>
      <c r="D819" s="300"/>
      <c r="E819" s="12" t="s">
        <v>386</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8"/>
        <v>200000</v>
      </c>
    </row>
    <row r="820" spans="2:24" ht="31.5">
      <c r="B820" s="291"/>
      <c r="C820" s="291"/>
      <c r="D820" s="300"/>
      <c r="E820" s="130" t="s">
        <v>239</v>
      </c>
      <c r="F820" s="66">
        <v>8707339</v>
      </c>
      <c r="G820" s="18">
        <f aca="true" t="shared" si="99"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f>
        <v>12525.6</v>
      </c>
      <c r="X820" s="40">
        <f t="shared" si="98"/>
        <v>5787474.4</v>
      </c>
    </row>
    <row r="821" spans="2:24" ht="63">
      <c r="B821" s="291"/>
      <c r="C821" s="291"/>
      <c r="D821" s="300"/>
      <c r="E821" s="130" t="s">
        <v>240</v>
      </c>
      <c r="F821" s="66">
        <v>7807134</v>
      </c>
      <c r="G821" s="18">
        <f t="shared" si="99"/>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f>
        <v>119194.5</v>
      </c>
      <c r="X821" s="40">
        <f t="shared" si="98"/>
        <v>1416991.7</v>
      </c>
    </row>
    <row r="822" spans="2:24" ht="63">
      <c r="B822" s="291"/>
      <c r="C822" s="291"/>
      <c r="D822" s="300"/>
      <c r="E822" s="130" t="s">
        <v>241</v>
      </c>
      <c r="F822" s="66">
        <v>5551896</v>
      </c>
      <c r="G822" s="18">
        <f t="shared" si="99"/>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f>
        <v>618116.4099999999</v>
      </c>
      <c r="X822" s="40">
        <f t="shared" si="98"/>
        <v>887163.79</v>
      </c>
    </row>
    <row r="823" spans="2:24" ht="63">
      <c r="B823" s="291"/>
      <c r="C823" s="291"/>
      <c r="D823" s="300"/>
      <c r="E823" s="130" t="s">
        <v>841</v>
      </c>
      <c r="F823" s="66">
        <v>24072945</v>
      </c>
      <c r="G823" s="18">
        <f t="shared" si="99"/>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8"/>
        <v>3489750.87</v>
      </c>
    </row>
    <row r="824" spans="2:24" ht="63">
      <c r="B824" s="291"/>
      <c r="C824" s="291"/>
      <c r="D824" s="300"/>
      <c r="E824" s="130" t="s">
        <v>330</v>
      </c>
      <c r="F824" s="66">
        <v>8315988</v>
      </c>
      <c r="G824" s="18">
        <f t="shared" si="99"/>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8"/>
        <v>1107149.86</v>
      </c>
    </row>
    <row r="825" spans="2:24" ht="63">
      <c r="B825" s="291"/>
      <c r="C825" s="291"/>
      <c r="D825" s="300"/>
      <c r="E825" s="130" t="s">
        <v>840</v>
      </c>
      <c r="F825" s="66">
        <v>10896104</v>
      </c>
      <c r="G825" s="18">
        <f t="shared" si="99"/>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8"/>
        <v>2797946.88</v>
      </c>
    </row>
    <row r="826" spans="2:24" ht="63">
      <c r="B826" s="291"/>
      <c r="C826" s="291"/>
      <c r="D826" s="300"/>
      <c r="E826" s="130" t="s">
        <v>661</v>
      </c>
      <c r="F826" s="66">
        <v>12970218</v>
      </c>
      <c r="G826" s="18">
        <f t="shared" si="99"/>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8"/>
        <v>1864118.82</v>
      </c>
    </row>
    <row r="827" spans="2:24" ht="31.5">
      <c r="B827" s="291"/>
      <c r="C827" s="291"/>
      <c r="D827" s="300"/>
      <c r="E827" s="130" t="s">
        <v>452</v>
      </c>
      <c r="F827" s="66">
        <v>51257653</v>
      </c>
      <c r="G827" s="18">
        <f t="shared" si="94"/>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8"/>
        <v>200000</v>
      </c>
    </row>
    <row r="828" spans="2:24" ht="31.5">
      <c r="B828" s="291"/>
      <c r="C828" s="291"/>
      <c r="D828" s="300"/>
      <c r="E828" s="130" t="s">
        <v>453</v>
      </c>
      <c r="F828" s="66">
        <v>5350936</v>
      </c>
      <c r="G828" s="18">
        <f t="shared" si="94"/>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8"/>
        <v>3480074.9</v>
      </c>
    </row>
    <row r="829" spans="2:24" ht="47.25">
      <c r="B829" s="291"/>
      <c r="C829" s="291"/>
      <c r="D829" s="300"/>
      <c r="E829" s="130" t="s">
        <v>454</v>
      </c>
      <c r="F829" s="66">
        <v>21096</v>
      </c>
      <c r="G829" s="18">
        <f t="shared" si="94"/>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8"/>
        <v>12893.28</v>
      </c>
    </row>
    <row r="830" spans="2:24" ht="47.25">
      <c r="B830" s="291"/>
      <c r="C830" s="291"/>
      <c r="D830" s="300"/>
      <c r="E830" s="130" t="s">
        <v>455</v>
      </c>
      <c r="F830" s="66">
        <v>121189</v>
      </c>
      <c r="G830" s="18">
        <f t="shared" si="94"/>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8"/>
        <v>114998.6</v>
      </c>
    </row>
    <row r="831" spans="2:24" ht="63">
      <c r="B831" s="291"/>
      <c r="C831" s="291"/>
      <c r="D831" s="300"/>
      <c r="E831" s="130" t="s">
        <v>456</v>
      </c>
      <c r="F831" s="66">
        <v>117496.73</v>
      </c>
      <c r="G831" s="18">
        <f t="shared" si="94"/>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8"/>
        <v>30214.73000000001</v>
      </c>
    </row>
    <row r="832" spans="2:24" ht="31.5">
      <c r="B832" s="291"/>
      <c r="C832" s="291"/>
      <c r="D832" s="300"/>
      <c r="E832" s="130" t="s">
        <v>457</v>
      </c>
      <c r="F832" s="66">
        <v>320536</v>
      </c>
      <c r="G832" s="18">
        <f t="shared" si="94"/>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8"/>
        <v>1959.8300000000163</v>
      </c>
    </row>
    <row r="833" spans="2:24" ht="63">
      <c r="B833" s="291"/>
      <c r="C833" s="291"/>
      <c r="D833" s="300"/>
      <c r="E833" s="130" t="s">
        <v>391</v>
      </c>
      <c r="F833" s="66">
        <v>4565810</v>
      </c>
      <c r="G833" s="18">
        <f t="shared" si="94"/>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8"/>
        <v>2058916.6</v>
      </c>
    </row>
    <row r="834" spans="2:24" ht="63">
      <c r="B834" s="291"/>
      <c r="C834" s="291"/>
      <c r="D834" s="300"/>
      <c r="E834" s="130" t="s">
        <v>405</v>
      </c>
      <c r="F834" s="66"/>
      <c r="G834" s="18"/>
      <c r="H834" s="218"/>
      <c r="I834" s="259">
        <v>3132</v>
      </c>
      <c r="J834" s="66">
        <v>11780</v>
      </c>
      <c r="K834" s="49"/>
      <c r="L834" s="49"/>
      <c r="M834" s="49"/>
      <c r="N834" s="49"/>
      <c r="O834" s="49">
        <v>11780</v>
      </c>
      <c r="P834" s="49"/>
      <c r="Q834" s="49"/>
      <c r="R834" s="49"/>
      <c r="S834" s="49"/>
      <c r="T834" s="49"/>
      <c r="U834" s="49"/>
      <c r="V834" s="49"/>
      <c r="W834" s="49"/>
      <c r="X834" s="40">
        <f t="shared" si="98"/>
        <v>11780</v>
      </c>
    </row>
    <row r="835" spans="2:24" ht="78.75">
      <c r="B835" s="291"/>
      <c r="C835" s="291"/>
      <c r="D835" s="300"/>
      <c r="E835" s="130" t="s">
        <v>406</v>
      </c>
      <c r="F835" s="66">
        <v>363762</v>
      </c>
      <c r="G835" s="18">
        <f t="shared" si="94"/>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8"/>
        <v>11844.289999999979</v>
      </c>
    </row>
    <row r="836" spans="2:24" ht="63">
      <c r="B836" s="291"/>
      <c r="C836" s="291"/>
      <c r="D836" s="300"/>
      <c r="E836" s="130" t="s">
        <v>407</v>
      </c>
      <c r="F836" s="66">
        <v>400650</v>
      </c>
      <c r="G836" s="18">
        <f t="shared" si="94"/>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f>
        <v>93097.97</v>
      </c>
      <c r="X836" s="40">
        <f t="shared" si="98"/>
        <v>30168.770000000004</v>
      </c>
    </row>
    <row r="837" spans="2:24" ht="63">
      <c r="B837" s="291"/>
      <c r="C837" s="291"/>
      <c r="D837" s="300"/>
      <c r="E837" s="130" t="s">
        <v>171</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f>
        <v>907287.08</v>
      </c>
      <c r="X837" s="40">
        <f t="shared" si="98"/>
        <v>244618.92000000004</v>
      </c>
    </row>
    <row r="838" spans="2:24" ht="63">
      <c r="B838" s="291"/>
      <c r="C838" s="291"/>
      <c r="D838" s="300"/>
      <c r="E838" s="130" t="s">
        <v>334</v>
      </c>
      <c r="F838" s="66">
        <v>111422</v>
      </c>
      <c r="G838" s="18">
        <f t="shared" si="94"/>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8"/>
        <v>8137.29</v>
      </c>
    </row>
    <row r="839" spans="2:24" ht="63">
      <c r="B839" s="291"/>
      <c r="C839" s="291"/>
      <c r="D839" s="300"/>
      <c r="E839" s="130" t="s">
        <v>172</v>
      </c>
      <c r="F839" s="66">
        <v>132126</v>
      </c>
      <c r="G839" s="18">
        <f t="shared" si="94"/>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8"/>
        <v>49765.37</v>
      </c>
    </row>
    <row r="840" spans="2:24" ht="63">
      <c r="B840" s="291"/>
      <c r="C840" s="291"/>
      <c r="D840" s="300"/>
      <c r="E840" s="130" t="s">
        <v>950</v>
      </c>
      <c r="F840" s="66">
        <v>318479</v>
      </c>
      <c r="G840" s="18">
        <f t="shared" si="94"/>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f>
        <v>131459.03</v>
      </c>
      <c r="X840" s="40">
        <f t="shared" si="98"/>
        <v>159296.53</v>
      </c>
    </row>
    <row r="841" spans="2:24" ht="47.25">
      <c r="B841" s="291"/>
      <c r="C841" s="291"/>
      <c r="D841" s="300"/>
      <c r="E841" s="130" t="s">
        <v>831</v>
      </c>
      <c r="F841" s="66">
        <v>117808</v>
      </c>
      <c r="G841" s="18">
        <f t="shared" si="94"/>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8"/>
        <v>109814.8</v>
      </c>
    </row>
    <row r="842" spans="2:24" ht="63">
      <c r="B842" s="291"/>
      <c r="C842" s="291"/>
      <c r="D842" s="300"/>
      <c r="E842" s="130" t="s">
        <v>832</v>
      </c>
      <c r="F842" s="66">
        <v>589979</v>
      </c>
      <c r="G842" s="18">
        <f t="shared" si="94"/>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f>
        <v>200655.6</v>
      </c>
      <c r="X842" s="40">
        <f t="shared" si="98"/>
        <v>311404.18000000005</v>
      </c>
    </row>
    <row r="843" spans="2:24" ht="78.75">
      <c r="B843" s="291"/>
      <c r="C843" s="291"/>
      <c r="D843" s="300"/>
      <c r="E843" s="130" t="s">
        <v>743</v>
      </c>
      <c r="F843" s="66">
        <v>134000</v>
      </c>
      <c r="G843" s="18">
        <f aca="true" t="shared" si="100"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8"/>
        <v>448180.97</v>
      </c>
    </row>
    <row r="844" spans="2:24" ht="63" hidden="1">
      <c r="B844" s="291"/>
      <c r="C844" s="291"/>
      <c r="D844" s="300"/>
      <c r="E844" s="130" t="s">
        <v>744</v>
      </c>
      <c r="F844" s="66">
        <v>979985</v>
      </c>
      <c r="G844" s="18">
        <f t="shared" si="100"/>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8"/>
        <v>0</v>
      </c>
    </row>
    <row r="845" spans="2:24" ht="63">
      <c r="B845" s="291"/>
      <c r="C845" s="291"/>
      <c r="D845" s="300"/>
      <c r="E845" s="130" t="s">
        <v>748</v>
      </c>
      <c r="F845" s="66">
        <v>244666</v>
      </c>
      <c r="G845" s="18">
        <f t="shared" si="100"/>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c r="X845" s="40">
        <f t="shared" si="98"/>
        <v>42000</v>
      </c>
    </row>
    <row r="846" spans="2:24" ht="78.75">
      <c r="B846" s="291"/>
      <c r="C846" s="291"/>
      <c r="D846" s="300"/>
      <c r="E846" s="130" t="s">
        <v>563</v>
      </c>
      <c r="F846" s="66">
        <v>1050150</v>
      </c>
      <c r="G846" s="18">
        <f t="shared" si="100"/>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f>
        <v>115000</v>
      </c>
      <c r="X846" s="40">
        <f t="shared" si="98"/>
        <v>663282</v>
      </c>
    </row>
    <row r="847" spans="2:24" ht="63">
      <c r="B847" s="291"/>
      <c r="C847" s="291"/>
      <c r="D847" s="300"/>
      <c r="E847" s="130" t="s">
        <v>952</v>
      </c>
      <c r="F847" s="66">
        <v>148000</v>
      </c>
      <c r="G847" s="18">
        <f t="shared" si="100"/>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8"/>
        <v>31348.349999999977</v>
      </c>
    </row>
    <row r="848" spans="2:24" ht="63">
      <c r="B848" s="291"/>
      <c r="C848" s="291"/>
      <c r="D848" s="300"/>
      <c r="E848" s="130" t="s">
        <v>833</v>
      </c>
      <c r="F848" s="66">
        <v>133097</v>
      </c>
      <c r="G848" s="18">
        <f t="shared" si="100"/>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8"/>
        <v>160047.71</v>
      </c>
    </row>
    <row r="849" spans="2:24" ht="47.25">
      <c r="B849" s="291"/>
      <c r="C849" s="291"/>
      <c r="D849" s="300"/>
      <c r="E849" s="130" t="s">
        <v>834</v>
      </c>
      <c r="F849" s="66">
        <v>273003</v>
      </c>
      <c r="G849" s="18">
        <f t="shared" si="100"/>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t="shared" si="98"/>
        <v>23004.570000000007</v>
      </c>
    </row>
    <row r="850" spans="2:24" ht="63">
      <c r="B850" s="291"/>
      <c r="C850" s="291"/>
      <c r="D850" s="300"/>
      <c r="E850" s="130" t="s">
        <v>932</v>
      </c>
      <c r="F850" s="66">
        <v>475000</v>
      </c>
      <c r="G850" s="133">
        <f t="shared" si="100"/>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f>
        <v>461426.47</v>
      </c>
      <c r="X850" s="40">
        <f t="shared" si="98"/>
        <v>10673.530000000028</v>
      </c>
    </row>
    <row r="851" spans="2:24" ht="31.5">
      <c r="B851" s="291"/>
      <c r="C851" s="291"/>
      <c r="D851" s="300"/>
      <c r="E851" s="130" t="s">
        <v>628</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98"/>
        <v>245952.9</v>
      </c>
    </row>
    <row r="852" spans="2:24" ht="63">
      <c r="B852" s="291"/>
      <c r="C852" s="291"/>
      <c r="D852" s="300"/>
      <c r="E852" s="134" t="s">
        <v>577</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98"/>
        <v>380000</v>
      </c>
    </row>
    <row r="853" spans="2:24" ht="15.75">
      <c r="B853" s="288" t="s">
        <v>201</v>
      </c>
      <c r="C853" s="288" t="s">
        <v>74</v>
      </c>
      <c r="D853" s="299" t="s">
        <v>335</v>
      </c>
      <c r="E853" s="12"/>
      <c r="F853" s="32"/>
      <c r="G853" s="18"/>
      <c r="H853" s="242"/>
      <c r="I853" s="259"/>
      <c r="J853" s="210">
        <f>J854</f>
        <v>285000</v>
      </c>
      <c r="K853" s="210">
        <f aca="true" t="shared" si="101" ref="K853:W853">K854</f>
        <v>0</v>
      </c>
      <c r="L853" s="210">
        <f t="shared" si="101"/>
        <v>0</v>
      </c>
      <c r="M853" s="210">
        <f t="shared" si="101"/>
        <v>0</v>
      </c>
      <c r="N853" s="210">
        <f t="shared" si="101"/>
        <v>0</v>
      </c>
      <c r="O853" s="210">
        <f t="shared" si="101"/>
        <v>95000</v>
      </c>
      <c r="P853" s="210">
        <f t="shared" si="101"/>
        <v>180000</v>
      </c>
      <c r="Q853" s="210">
        <f t="shared" si="101"/>
        <v>100000</v>
      </c>
      <c r="R853" s="210">
        <f t="shared" si="101"/>
        <v>-90000</v>
      </c>
      <c r="S853" s="210">
        <f t="shared" si="101"/>
        <v>0</v>
      </c>
      <c r="T853" s="210">
        <f t="shared" si="101"/>
        <v>0</v>
      </c>
      <c r="U853" s="210">
        <f t="shared" si="101"/>
        <v>0</v>
      </c>
      <c r="V853" s="210">
        <f t="shared" si="101"/>
        <v>0</v>
      </c>
      <c r="W853" s="210">
        <f t="shared" si="101"/>
        <v>0</v>
      </c>
      <c r="X853" s="184">
        <f t="shared" si="98"/>
        <v>285000</v>
      </c>
    </row>
    <row r="854" spans="2:24" ht="31.5">
      <c r="B854" s="289"/>
      <c r="C854" s="289"/>
      <c r="D854" s="300"/>
      <c r="E854" s="135" t="s">
        <v>578</v>
      </c>
      <c r="F854" s="32"/>
      <c r="G854" s="18"/>
      <c r="H854" s="242"/>
      <c r="I854" s="259"/>
      <c r="J854" s="26">
        <f>SUM(J855:J857)</f>
        <v>285000</v>
      </c>
      <c r="K854" s="26">
        <f aca="true" t="shared" si="102" ref="K854:W854">SUM(K855:K857)</f>
        <v>0</v>
      </c>
      <c r="L854" s="26">
        <f t="shared" si="102"/>
        <v>0</v>
      </c>
      <c r="M854" s="26">
        <f t="shared" si="102"/>
        <v>0</v>
      </c>
      <c r="N854" s="26">
        <f t="shared" si="102"/>
        <v>0</v>
      </c>
      <c r="O854" s="26">
        <f t="shared" si="102"/>
        <v>95000</v>
      </c>
      <c r="P854" s="26">
        <f t="shared" si="102"/>
        <v>180000</v>
      </c>
      <c r="Q854" s="26">
        <f t="shared" si="102"/>
        <v>100000</v>
      </c>
      <c r="R854" s="26">
        <f t="shared" si="102"/>
        <v>-90000</v>
      </c>
      <c r="S854" s="26">
        <f t="shared" si="102"/>
        <v>0</v>
      </c>
      <c r="T854" s="26">
        <f t="shared" si="102"/>
        <v>0</v>
      </c>
      <c r="U854" s="26">
        <f t="shared" si="102"/>
        <v>0</v>
      </c>
      <c r="V854" s="26">
        <f t="shared" si="102"/>
        <v>0</v>
      </c>
      <c r="W854" s="26">
        <f t="shared" si="102"/>
        <v>0</v>
      </c>
      <c r="X854" s="40">
        <f t="shared" si="98"/>
        <v>285000</v>
      </c>
    </row>
    <row r="855" spans="2:24" ht="15.75">
      <c r="B855" s="289"/>
      <c r="C855" s="289"/>
      <c r="D855" s="300"/>
      <c r="E855" s="53" t="s">
        <v>579</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98"/>
        <v>205000</v>
      </c>
    </row>
    <row r="856" spans="2:24" ht="47.25" hidden="1">
      <c r="B856" s="289"/>
      <c r="C856" s="289"/>
      <c r="D856" s="300"/>
      <c r="E856" s="136" t="s">
        <v>580</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98"/>
        <v>0</v>
      </c>
    </row>
    <row r="857" spans="2:24" ht="31.5">
      <c r="B857" s="293"/>
      <c r="C857" s="293"/>
      <c r="D857" s="301"/>
      <c r="E857" s="136" t="s">
        <v>581</v>
      </c>
      <c r="F857" s="49"/>
      <c r="G857" s="129"/>
      <c r="H857" s="220"/>
      <c r="I857" s="252">
        <v>3210</v>
      </c>
      <c r="J857" s="21">
        <v>80000</v>
      </c>
      <c r="K857" s="49"/>
      <c r="L857" s="49"/>
      <c r="M857" s="49"/>
      <c r="N857" s="49"/>
      <c r="O857" s="49"/>
      <c r="P857" s="49">
        <v>80000</v>
      </c>
      <c r="Q857" s="49"/>
      <c r="R857" s="49"/>
      <c r="S857" s="49"/>
      <c r="T857" s="49"/>
      <c r="U857" s="49"/>
      <c r="V857" s="49"/>
      <c r="W857" s="49"/>
      <c r="X857" s="40">
        <f t="shared" si="98"/>
        <v>80000</v>
      </c>
    </row>
    <row r="858" spans="2:24" ht="15.75">
      <c r="B858" s="335" t="s">
        <v>202</v>
      </c>
      <c r="C858" s="335" t="s">
        <v>710</v>
      </c>
      <c r="D858" s="333" t="s">
        <v>211</v>
      </c>
      <c r="E858" s="94"/>
      <c r="F858" s="76"/>
      <c r="G858" s="99"/>
      <c r="H858" s="224"/>
      <c r="I858" s="255"/>
      <c r="J858" s="211">
        <f>J859+J860+J861+J862+J869+J873+J863+J864+J867+J866+J865</f>
        <v>3285616.33</v>
      </c>
      <c r="K858" s="211">
        <f aca="true" t="shared" si="103" ref="K858:W858">K859+K860+K861+K862+K869+K873+K863+K864+K867+K866+K865</f>
        <v>0</v>
      </c>
      <c r="L858" s="211">
        <f t="shared" si="103"/>
        <v>1345116.33</v>
      </c>
      <c r="M858" s="211">
        <f t="shared" si="103"/>
        <v>0</v>
      </c>
      <c r="N858" s="211">
        <f t="shared" si="103"/>
        <v>0</v>
      </c>
      <c r="O858" s="211">
        <f t="shared" si="103"/>
        <v>280625</v>
      </c>
      <c r="P858" s="211">
        <f t="shared" si="103"/>
        <v>70625</v>
      </c>
      <c r="Q858" s="211">
        <f t="shared" si="103"/>
        <v>1320625</v>
      </c>
      <c r="R858" s="211">
        <f t="shared" si="103"/>
        <v>107625</v>
      </c>
      <c r="S858" s="211">
        <f t="shared" si="103"/>
        <v>164625</v>
      </c>
      <c r="T858" s="211">
        <f t="shared" si="103"/>
        <v>47125</v>
      </c>
      <c r="U858" s="211">
        <f t="shared" si="103"/>
        <v>-65375</v>
      </c>
      <c r="V858" s="211">
        <f t="shared" si="103"/>
        <v>14625</v>
      </c>
      <c r="W858" s="211">
        <f t="shared" si="103"/>
        <v>1571167.53</v>
      </c>
      <c r="X858" s="184">
        <f t="shared" si="98"/>
        <v>1699823.8</v>
      </c>
    </row>
    <row r="859" spans="2:24" ht="94.5">
      <c r="B859" s="335"/>
      <c r="C859" s="335"/>
      <c r="D859" s="333"/>
      <c r="E859" s="19" t="s">
        <v>660</v>
      </c>
      <c r="F859" s="66">
        <v>540490</v>
      </c>
      <c r="G859" s="18">
        <f aca="true" t="shared" si="104"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98"/>
        <v>0</v>
      </c>
    </row>
    <row r="860" spans="2:24" ht="63">
      <c r="B860" s="335"/>
      <c r="C860" s="335"/>
      <c r="D860" s="333"/>
      <c r="E860" s="10" t="s">
        <v>749</v>
      </c>
      <c r="F860" s="76">
        <v>1042551</v>
      </c>
      <c r="G860" s="18">
        <f t="shared" si="104"/>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98"/>
        <v>0</v>
      </c>
    </row>
    <row r="861" spans="2:24" ht="47.25">
      <c r="B861" s="335"/>
      <c r="C861" s="335"/>
      <c r="D861" s="333"/>
      <c r="E861" s="28" t="s">
        <v>755</v>
      </c>
      <c r="F861" s="76">
        <v>1012910</v>
      </c>
      <c r="G861" s="18">
        <f t="shared" si="104"/>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98"/>
        <v>0</v>
      </c>
    </row>
    <row r="862" spans="2:24" ht="47.25">
      <c r="B862" s="335"/>
      <c r="C862" s="335"/>
      <c r="D862" s="333"/>
      <c r="E862" s="28" t="s">
        <v>756</v>
      </c>
      <c r="F862" s="76">
        <v>1042551</v>
      </c>
      <c r="G862" s="18">
        <f t="shared" si="104"/>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98"/>
        <v>0</v>
      </c>
    </row>
    <row r="863" spans="2:24" ht="31.5">
      <c r="B863" s="335"/>
      <c r="C863" s="335"/>
      <c r="D863" s="333"/>
      <c r="E863" s="130" t="s">
        <v>582</v>
      </c>
      <c r="F863" s="66">
        <v>704692</v>
      </c>
      <c r="G863" s="18">
        <f t="shared" si="104"/>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c r="X863" s="40">
        <f t="shared" si="98"/>
        <v>70000</v>
      </c>
    </row>
    <row r="864" spans="2:24" ht="78.75">
      <c r="B864" s="335"/>
      <c r="C864" s="335"/>
      <c r="D864" s="333"/>
      <c r="E864" s="130" t="s">
        <v>583</v>
      </c>
      <c r="F864" s="66">
        <v>540490</v>
      </c>
      <c r="G864" s="18">
        <f t="shared" si="104"/>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98"/>
        <v>17137.009999999995</v>
      </c>
    </row>
    <row r="865" spans="2:24" ht="31.5">
      <c r="B865" s="335"/>
      <c r="C865" s="335"/>
      <c r="D865" s="333"/>
      <c r="E865" s="130" t="s">
        <v>470</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98"/>
        <v>50000</v>
      </c>
    </row>
    <row r="866" spans="2:24" ht="78.75">
      <c r="B866" s="335"/>
      <c r="C866" s="335"/>
      <c r="D866" s="333"/>
      <c r="E866" s="130" t="s">
        <v>390</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98"/>
        <v>193000</v>
      </c>
    </row>
    <row r="867" spans="2:24" ht="47.25">
      <c r="B867" s="335"/>
      <c r="C867" s="335"/>
      <c r="D867" s="333"/>
      <c r="E867" s="137" t="s">
        <v>915</v>
      </c>
      <c r="F867" s="40"/>
      <c r="G867" s="138"/>
      <c r="H867" s="225"/>
      <c r="I867" s="256"/>
      <c r="J867" s="77">
        <f>J868</f>
        <v>20000</v>
      </c>
      <c r="K867" s="77">
        <f aca="true" t="shared" si="105" ref="K867:W867">K868</f>
        <v>0</v>
      </c>
      <c r="L867" s="77">
        <f t="shared" si="105"/>
        <v>0</v>
      </c>
      <c r="M867" s="77">
        <f t="shared" si="105"/>
        <v>0</v>
      </c>
      <c r="N867" s="77">
        <f t="shared" si="105"/>
        <v>0</v>
      </c>
      <c r="O867" s="77">
        <f t="shared" si="105"/>
        <v>0</v>
      </c>
      <c r="P867" s="77">
        <f t="shared" si="105"/>
        <v>0</v>
      </c>
      <c r="Q867" s="77">
        <f t="shared" si="105"/>
        <v>0</v>
      </c>
      <c r="R867" s="77">
        <f t="shared" si="105"/>
        <v>0</v>
      </c>
      <c r="S867" s="77">
        <f t="shared" si="105"/>
        <v>0</v>
      </c>
      <c r="T867" s="77">
        <f t="shared" si="105"/>
        <v>20000</v>
      </c>
      <c r="U867" s="77">
        <f t="shared" si="105"/>
        <v>0</v>
      </c>
      <c r="V867" s="77">
        <f t="shared" si="105"/>
        <v>0</v>
      </c>
      <c r="W867" s="77">
        <f t="shared" si="105"/>
        <v>0</v>
      </c>
      <c r="X867" s="40">
        <f t="shared" si="98"/>
        <v>20000</v>
      </c>
    </row>
    <row r="868" spans="2:24" ht="47.25">
      <c r="B868" s="335"/>
      <c r="C868" s="335"/>
      <c r="D868" s="333"/>
      <c r="E868" s="130" t="s">
        <v>815</v>
      </c>
      <c r="F868" s="49"/>
      <c r="G868" s="18"/>
      <c r="H868" s="220"/>
      <c r="I868" s="252">
        <v>3110</v>
      </c>
      <c r="J868" s="21">
        <v>20000</v>
      </c>
      <c r="K868" s="49"/>
      <c r="L868" s="49"/>
      <c r="M868" s="49"/>
      <c r="N868" s="49"/>
      <c r="O868" s="49"/>
      <c r="P868" s="49"/>
      <c r="Q868" s="49"/>
      <c r="R868" s="49"/>
      <c r="S868" s="49"/>
      <c r="T868" s="49">
        <v>20000</v>
      </c>
      <c r="U868" s="49"/>
      <c r="V868" s="49"/>
      <c r="W868" s="49"/>
      <c r="X868" s="40">
        <f t="shared" si="98"/>
        <v>20000</v>
      </c>
    </row>
    <row r="869" spans="2:24" ht="47.25">
      <c r="B869" s="335"/>
      <c r="C869" s="335"/>
      <c r="D869" s="333"/>
      <c r="E869" s="36" t="s">
        <v>393</v>
      </c>
      <c r="F869" s="76"/>
      <c r="G869" s="99"/>
      <c r="H869" s="224"/>
      <c r="I869" s="255"/>
      <c r="J869" s="37">
        <f>SUM(J870:J872)</f>
        <v>2042362.72</v>
      </c>
      <c r="K869" s="37">
        <f aca="true" t="shared" si="106" ref="K869:W869">SUM(K870:K872)</f>
        <v>0</v>
      </c>
      <c r="L869" s="37">
        <f t="shared" si="106"/>
        <v>779862.72</v>
      </c>
      <c r="M869" s="37">
        <f t="shared" si="106"/>
        <v>0</v>
      </c>
      <c r="N869" s="37">
        <f t="shared" si="106"/>
        <v>0</v>
      </c>
      <c r="O869" s="37">
        <f t="shared" si="106"/>
        <v>0</v>
      </c>
      <c r="P869" s="37">
        <f t="shared" si="106"/>
        <v>0</v>
      </c>
      <c r="Q869" s="37">
        <f t="shared" si="106"/>
        <v>1250000</v>
      </c>
      <c r="R869" s="37">
        <f t="shared" si="106"/>
        <v>0</v>
      </c>
      <c r="S869" s="37">
        <f t="shared" si="106"/>
        <v>0</v>
      </c>
      <c r="T869" s="37">
        <f t="shared" si="106"/>
        <v>12500</v>
      </c>
      <c r="U869" s="37">
        <f t="shared" si="106"/>
        <v>0</v>
      </c>
      <c r="V869" s="37">
        <f t="shared" si="106"/>
        <v>0</v>
      </c>
      <c r="W869" s="37">
        <f t="shared" si="106"/>
        <v>779862.72</v>
      </c>
      <c r="X869" s="40">
        <f t="shared" si="98"/>
        <v>1262500</v>
      </c>
    </row>
    <row r="870" spans="2:24" ht="47.25">
      <c r="B870" s="335"/>
      <c r="C870" s="335"/>
      <c r="D870" s="333"/>
      <c r="E870" s="10" t="s">
        <v>394</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98"/>
        <v>0</v>
      </c>
    </row>
    <row r="871" spans="2:24" ht="47.25">
      <c r="B871" s="335"/>
      <c r="C871" s="335"/>
      <c r="D871" s="333"/>
      <c r="E871" s="10" t="s">
        <v>816</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98"/>
        <v>12500</v>
      </c>
    </row>
    <row r="872" spans="2:24" ht="31.5">
      <c r="B872" s="335"/>
      <c r="C872" s="335"/>
      <c r="D872" s="333"/>
      <c r="E872" s="10" t="s">
        <v>817</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98"/>
        <v>1250000</v>
      </c>
    </row>
    <row r="873" spans="2:24" ht="47.25">
      <c r="B873" s="335"/>
      <c r="C873" s="335"/>
      <c r="D873" s="333"/>
      <c r="E873" s="36" t="s">
        <v>863</v>
      </c>
      <c r="F873" s="76"/>
      <c r="G873" s="99"/>
      <c r="H873" s="224"/>
      <c r="I873" s="255"/>
      <c r="J873" s="38">
        <f>SUM(J874:J877)</f>
        <v>262134.54</v>
      </c>
      <c r="K873" s="38">
        <f aca="true" t="shared" si="107" ref="K873:W873">SUM(K874:K877)</f>
        <v>0</v>
      </c>
      <c r="L873" s="38">
        <f t="shared" si="107"/>
        <v>27134.54</v>
      </c>
      <c r="M873" s="38">
        <f t="shared" si="107"/>
        <v>0</v>
      </c>
      <c r="N873" s="38">
        <f t="shared" si="107"/>
        <v>0</v>
      </c>
      <c r="O873" s="38">
        <f t="shared" si="107"/>
        <v>120625</v>
      </c>
      <c r="P873" s="38">
        <f t="shared" si="107"/>
        <v>20625</v>
      </c>
      <c r="Q873" s="38">
        <f t="shared" si="107"/>
        <v>20625</v>
      </c>
      <c r="R873" s="38">
        <f t="shared" si="107"/>
        <v>14625</v>
      </c>
      <c r="S873" s="38">
        <f t="shared" si="107"/>
        <v>14625</v>
      </c>
      <c r="T873" s="38">
        <f t="shared" si="107"/>
        <v>14625</v>
      </c>
      <c r="U873" s="38">
        <f t="shared" si="107"/>
        <v>14625</v>
      </c>
      <c r="V873" s="38">
        <f t="shared" si="107"/>
        <v>14625</v>
      </c>
      <c r="W873" s="38">
        <f t="shared" si="107"/>
        <v>160322.75</v>
      </c>
      <c r="X873" s="40">
        <f t="shared" si="98"/>
        <v>87186.79000000001</v>
      </c>
    </row>
    <row r="874" spans="2:24" ht="94.5">
      <c r="B874" s="335"/>
      <c r="C874" s="335"/>
      <c r="D874" s="333"/>
      <c r="E874" s="33" t="s">
        <v>757</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98"/>
        <v>0</v>
      </c>
    </row>
    <row r="875" spans="2:24" ht="63">
      <c r="B875" s="335"/>
      <c r="C875" s="335"/>
      <c r="D875" s="333"/>
      <c r="E875" s="33" t="s">
        <v>758</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98"/>
        <v>0</v>
      </c>
    </row>
    <row r="876" spans="2:24" ht="94.5">
      <c r="B876" s="335"/>
      <c r="C876" s="335"/>
      <c r="D876" s="333"/>
      <c r="E876" s="33" t="s">
        <v>62</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f>
        <v>24100</v>
      </c>
      <c r="X876" s="40">
        <f t="shared" si="98"/>
        <v>50275</v>
      </c>
    </row>
    <row r="877" spans="2:24" ht="63">
      <c r="B877" s="335"/>
      <c r="C877" s="335"/>
      <c r="D877" s="333"/>
      <c r="E877" s="33" t="s">
        <v>63</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98"/>
        <v>36911.78999999999</v>
      </c>
    </row>
    <row r="878" spans="2:24" ht="15.75">
      <c r="B878" s="194"/>
      <c r="C878" s="195"/>
      <c r="D878" s="325" t="s">
        <v>853</v>
      </c>
      <c r="E878" s="326"/>
      <c r="F878" s="142"/>
      <c r="G878" s="143"/>
      <c r="H878" s="243"/>
      <c r="I878" s="260"/>
      <c r="J878" s="58">
        <f>J881+J879</f>
        <v>399999.22</v>
      </c>
      <c r="K878" s="58">
        <f aca="true" t="shared" si="108" ref="K878:W878">K881+K879</f>
        <v>0</v>
      </c>
      <c r="L878" s="58">
        <f t="shared" si="108"/>
        <v>84949.29000000001</v>
      </c>
      <c r="M878" s="58">
        <f t="shared" si="108"/>
        <v>0</v>
      </c>
      <c r="N878" s="58">
        <f t="shared" si="108"/>
        <v>0</v>
      </c>
      <c r="O878" s="58">
        <f t="shared" si="108"/>
        <v>80977.93</v>
      </c>
      <c r="P878" s="58">
        <f t="shared" si="108"/>
        <v>137036</v>
      </c>
      <c r="Q878" s="58">
        <f t="shared" si="108"/>
        <v>0</v>
      </c>
      <c r="R878" s="58">
        <f t="shared" si="108"/>
        <v>97036</v>
      </c>
      <c r="S878" s="58">
        <f t="shared" si="108"/>
        <v>0</v>
      </c>
      <c r="T878" s="58">
        <f t="shared" si="108"/>
        <v>0</v>
      </c>
      <c r="U878" s="58">
        <f t="shared" si="108"/>
        <v>0</v>
      </c>
      <c r="V878" s="58">
        <f t="shared" si="108"/>
        <v>0</v>
      </c>
      <c r="W878" s="58">
        <f t="shared" si="108"/>
        <v>341181.30000000005</v>
      </c>
      <c r="X878" s="60">
        <f t="shared" si="98"/>
        <v>58817.919999999925</v>
      </c>
    </row>
    <row r="879" spans="2:24" ht="15.75">
      <c r="B879" s="297" t="s">
        <v>69</v>
      </c>
      <c r="C879" s="297" t="s">
        <v>67</v>
      </c>
      <c r="D879" s="298" t="s">
        <v>763</v>
      </c>
      <c r="E879" s="265"/>
      <c r="F879" s="57"/>
      <c r="G879" s="61"/>
      <c r="H879" s="57"/>
      <c r="I879" s="247"/>
      <c r="J879" s="192">
        <f>J880</f>
        <v>80000</v>
      </c>
      <c r="K879" s="192">
        <f aca="true" t="shared" si="109" ref="K879:W879">K880</f>
        <v>0</v>
      </c>
      <c r="L879" s="192">
        <f t="shared" si="109"/>
        <v>0</v>
      </c>
      <c r="M879" s="192">
        <f t="shared" si="109"/>
        <v>0</v>
      </c>
      <c r="N879" s="192">
        <f t="shared" si="109"/>
        <v>0</v>
      </c>
      <c r="O879" s="192">
        <f t="shared" si="109"/>
        <v>0</v>
      </c>
      <c r="P879" s="192">
        <f t="shared" si="109"/>
        <v>80000</v>
      </c>
      <c r="Q879" s="192">
        <f t="shared" si="109"/>
        <v>0</v>
      </c>
      <c r="R879" s="192">
        <f t="shared" si="109"/>
        <v>0</v>
      </c>
      <c r="S879" s="192">
        <f t="shared" si="109"/>
        <v>0</v>
      </c>
      <c r="T879" s="192">
        <f t="shared" si="109"/>
        <v>0</v>
      </c>
      <c r="U879" s="192">
        <f t="shared" si="109"/>
        <v>0</v>
      </c>
      <c r="V879" s="192">
        <f t="shared" si="109"/>
        <v>0</v>
      </c>
      <c r="W879" s="192">
        <f t="shared" si="109"/>
        <v>79900</v>
      </c>
      <c r="X879" s="184">
        <f aca="true" t="shared" si="110" ref="X879:X911">K879+L879+M879+N879+O879+P879+Q879+R879+S879+T879+U879-W879</f>
        <v>100</v>
      </c>
    </row>
    <row r="880" spans="2:24" ht="31.5">
      <c r="B880" s="297"/>
      <c r="C880" s="297"/>
      <c r="D880" s="298"/>
      <c r="E880" s="31" t="s">
        <v>537</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10"/>
        <v>100</v>
      </c>
    </row>
    <row r="881" spans="2:24" ht="15.75">
      <c r="B881" s="335" t="s">
        <v>202</v>
      </c>
      <c r="C881" s="335" t="s">
        <v>710</v>
      </c>
      <c r="D881" s="333" t="s">
        <v>211</v>
      </c>
      <c r="E881" s="204"/>
      <c r="F881" s="57"/>
      <c r="G881" s="61"/>
      <c r="H881" s="214"/>
      <c r="I881" s="247"/>
      <c r="J881" s="192">
        <f>J882+J886+J889+J890+J891+J892</f>
        <v>319999.22</v>
      </c>
      <c r="K881" s="192">
        <f aca="true" t="shared" si="111" ref="K881:W881">K882+K886+K889+K890+K891+K892</f>
        <v>0</v>
      </c>
      <c r="L881" s="192">
        <f t="shared" si="111"/>
        <v>84949.29000000001</v>
      </c>
      <c r="M881" s="192">
        <f t="shared" si="111"/>
        <v>0</v>
      </c>
      <c r="N881" s="192">
        <f t="shared" si="111"/>
        <v>0</v>
      </c>
      <c r="O881" s="192">
        <f t="shared" si="111"/>
        <v>80977.93</v>
      </c>
      <c r="P881" s="192">
        <f t="shared" si="111"/>
        <v>57036</v>
      </c>
      <c r="Q881" s="192">
        <f t="shared" si="111"/>
        <v>0</v>
      </c>
      <c r="R881" s="192">
        <f t="shared" si="111"/>
        <v>97036</v>
      </c>
      <c r="S881" s="192">
        <f t="shared" si="111"/>
        <v>0</v>
      </c>
      <c r="T881" s="192">
        <f t="shared" si="111"/>
        <v>0</v>
      </c>
      <c r="U881" s="192">
        <f t="shared" si="111"/>
        <v>0</v>
      </c>
      <c r="V881" s="192">
        <f t="shared" si="111"/>
        <v>0</v>
      </c>
      <c r="W881" s="192">
        <f t="shared" si="111"/>
        <v>261281.30000000002</v>
      </c>
      <c r="X881" s="184">
        <f t="shared" si="110"/>
        <v>58717.919999999955</v>
      </c>
    </row>
    <row r="882" spans="2:24" ht="63">
      <c r="B882" s="335"/>
      <c r="C882" s="335"/>
      <c r="D882" s="333"/>
      <c r="E882" s="39" t="s">
        <v>759</v>
      </c>
      <c r="F882" s="57"/>
      <c r="G882" s="61"/>
      <c r="H882" s="214"/>
      <c r="I882" s="247"/>
      <c r="J882" s="40">
        <f>J883+J884+J885</f>
        <v>223472</v>
      </c>
      <c r="K882" s="40">
        <f aca="true" t="shared" si="112" ref="K882:W882">K883+K884+K885</f>
        <v>0</v>
      </c>
      <c r="L882" s="40">
        <f t="shared" si="112"/>
        <v>5.7</v>
      </c>
      <c r="M882" s="40">
        <f t="shared" si="112"/>
        <v>0</v>
      </c>
      <c r="N882" s="40">
        <f t="shared" si="112"/>
        <v>0</v>
      </c>
      <c r="O882" s="40">
        <f t="shared" si="112"/>
        <v>29394.3</v>
      </c>
      <c r="P882" s="40">
        <f t="shared" si="112"/>
        <v>97036</v>
      </c>
      <c r="Q882" s="40">
        <f t="shared" si="112"/>
        <v>0</v>
      </c>
      <c r="R882" s="40">
        <f t="shared" si="112"/>
        <v>97036</v>
      </c>
      <c r="S882" s="40">
        <f t="shared" si="112"/>
        <v>0</v>
      </c>
      <c r="T882" s="40">
        <f t="shared" si="112"/>
        <v>0</v>
      </c>
      <c r="U882" s="40">
        <f t="shared" si="112"/>
        <v>0</v>
      </c>
      <c r="V882" s="40">
        <f t="shared" si="112"/>
        <v>0</v>
      </c>
      <c r="W882" s="40">
        <f t="shared" si="112"/>
        <v>164754.08000000002</v>
      </c>
      <c r="X882" s="40">
        <f t="shared" si="110"/>
        <v>58717.919999999984</v>
      </c>
    </row>
    <row r="883" spans="2:24" ht="63">
      <c r="B883" s="335"/>
      <c r="C883" s="335"/>
      <c r="D883" s="333"/>
      <c r="E883" s="11" t="s">
        <v>760</v>
      </c>
      <c r="F883" s="57"/>
      <c r="G883" s="61"/>
      <c r="H883" s="214"/>
      <c r="I883" s="247">
        <v>3110</v>
      </c>
      <c r="J883" s="9">
        <v>5.7</v>
      </c>
      <c r="K883" s="49"/>
      <c r="L883" s="49">
        <v>5.7</v>
      </c>
      <c r="M883" s="49"/>
      <c r="N883" s="49"/>
      <c r="O883" s="49"/>
      <c r="P883" s="49"/>
      <c r="Q883" s="49"/>
      <c r="R883" s="49"/>
      <c r="S883" s="49"/>
      <c r="T883" s="49"/>
      <c r="U883" s="49"/>
      <c r="V883" s="49"/>
      <c r="W883" s="49">
        <v>5.7</v>
      </c>
      <c r="X883" s="40">
        <f t="shared" si="110"/>
        <v>0</v>
      </c>
    </row>
    <row r="884" spans="2:24" ht="47.25">
      <c r="B884" s="335"/>
      <c r="C884" s="335"/>
      <c r="D884" s="333"/>
      <c r="E884" s="139" t="s">
        <v>64</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10"/>
        <v>0</v>
      </c>
    </row>
    <row r="885" spans="2:24" ht="47.25">
      <c r="B885" s="335"/>
      <c r="C885" s="335"/>
      <c r="D885" s="333"/>
      <c r="E885" s="139" t="s">
        <v>135</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10"/>
        <v>58717.919999999984</v>
      </c>
    </row>
    <row r="886" spans="2:24" ht="63">
      <c r="B886" s="335"/>
      <c r="C886" s="335"/>
      <c r="D886" s="333"/>
      <c r="E886" s="39" t="s">
        <v>761</v>
      </c>
      <c r="F886" s="57"/>
      <c r="G886" s="61"/>
      <c r="H886" s="214"/>
      <c r="I886" s="247"/>
      <c r="J886" s="40">
        <f>J887+J888</f>
        <v>38611.22</v>
      </c>
      <c r="K886" s="40">
        <f aca="true" t="shared" si="113" ref="K886:W886">K887+K888</f>
        <v>0</v>
      </c>
      <c r="L886" s="40">
        <f t="shared" si="113"/>
        <v>27027.59</v>
      </c>
      <c r="M886" s="40">
        <f t="shared" si="113"/>
        <v>0</v>
      </c>
      <c r="N886" s="40">
        <f t="shared" si="113"/>
        <v>0</v>
      </c>
      <c r="O886" s="40">
        <f t="shared" si="113"/>
        <v>11583.63</v>
      </c>
      <c r="P886" s="40">
        <f t="shared" si="113"/>
        <v>0</v>
      </c>
      <c r="Q886" s="40">
        <f t="shared" si="113"/>
        <v>0</v>
      </c>
      <c r="R886" s="40">
        <f t="shared" si="113"/>
        <v>0</v>
      </c>
      <c r="S886" s="40">
        <f t="shared" si="113"/>
        <v>0</v>
      </c>
      <c r="T886" s="40">
        <f t="shared" si="113"/>
        <v>0</v>
      </c>
      <c r="U886" s="40">
        <f t="shared" si="113"/>
        <v>0</v>
      </c>
      <c r="V886" s="40">
        <f t="shared" si="113"/>
        <v>0</v>
      </c>
      <c r="W886" s="40">
        <f t="shared" si="113"/>
        <v>38611.22</v>
      </c>
      <c r="X886" s="40">
        <f t="shared" si="110"/>
        <v>0</v>
      </c>
    </row>
    <row r="887" spans="2:24" ht="78.75">
      <c r="B887" s="335"/>
      <c r="C887" s="335"/>
      <c r="D887" s="333"/>
      <c r="E887" s="41" t="s">
        <v>730</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10"/>
        <v>0</v>
      </c>
    </row>
    <row r="888" spans="2:24" ht="47.25">
      <c r="B888" s="335"/>
      <c r="C888" s="335"/>
      <c r="D888" s="333"/>
      <c r="E888" s="139" t="s">
        <v>658</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10"/>
        <v>0</v>
      </c>
    </row>
    <row r="889" spans="2:24" ht="126">
      <c r="B889" s="335"/>
      <c r="C889" s="335"/>
      <c r="D889" s="333"/>
      <c r="E889" s="42" t="s">
        <v>731</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10"/>
        <v>0</v>
      </c>
    </row>
    <row r="890" spans="2:24" ht="31.5" hidden="1">
      <c r="B890" s="335"/>
      <c r="C890" s="335"/>
      <c r="D890" s="333"/>
      <c r="E890" s="31" t="s">
        <v>537</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10"/>
        <v>0</v>
      </c>
    </row>
    <row r="891" spans="2:24" ht="94.5" hidden="1">
      <c r="B891" s="335"/>
      <c r="C891" s="335"/>
      <c r="D891" s="333"/>
      <c r="E891" s="31" t="s">
        <v>538</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10"/>
        <v>0</v>
      </c>
    </row>
    <row r="892" spans="2:24" ht="47.25" hidden="1">
      <c r="B892" s="335"/>
      <c r="C892" s="335"/>
      <c r="D892" s="333"/>
      <c r="E892" s="31" t="s">
        <v>593</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10"/>
        <v>0</v>
      </c>
    </row>
    <row r="893" spans="2:24" ht="15.75">
      <c r="B893" s="205"/>
      <c r="C893" s="205"/>
      <c r="D893" s="337" t="s">
        <v>565</v>
      </c>
      <c r="E893" s="338"/>
      <c r="F893" s="142"/>
      <c r="G893" s="143"/>
      <c r="H893" s="243"/>
      <c r="I893" s="260"/>
      <c r="J893" s="144">
        <f>J894</f>
        <v>240000</v>
      </c>
      <c r="K893" s="144">
        <f aca="true" t="shared" si="114" ref="K893:W893">K894</f>
        <v>0</v>
      </c>
      <c r="L893" s="144">
        <f t="shared" si="114"/>
        <v>0</v>
      </c>
      <c r="M893" s="144">
        <f t="shared" si="114"/>
        <v>0</v>
      </c>
      <c r="N893" s="144">
        <f t="shared" si="114"/>
        <v>0</v>
      </c>
      <c r="O893" s="144">
        <f t="shared" si="114"/>
        <v>0</v>
      </c>
      <c r="P893" s="144">
        <f t="shared" si="114"/>
        <v>359000</v>
      </c>
      <c r="Q893" s="144">
        <f t="shared" si="114"/>
        <v>0</v>
      </c>
      <c r="R893" s="144">
        <f t="shared" si="114"/>
        <v>0</v>
      </c>
      <c r="S893" s="144">
        <f t="shared" si="114"/>
        <v>0</v>
      </c>
      <c r="T893" s="144">
        <f t="shared" si="114"/>
        <v>0</v>
      </c>
      <c r="U893" s="144">
        <f t="shared" si="114"/>
        <v>-119000</v>
      </c>
      <c r="V893" s="144">
        <f t="shared" si="114"/>
        <v>0</v>
      </c>
      <c r="W893" s="144">
        <f t="shared" si="114"/>
        <v>77472</v>
      </c>
      <c r="X893" s="60">
        <f t="shared" si="110"/>
        <v>162528</v>
      </c>
    </row>
    <row r="894" spans="2:24" ht="15.75">
      <c r="B894" s="334" t="s">
        <v>69</v>
      </c>
      <c r="C894" s="334" t="s">
        <v>67</v>
      </c>
      <c r="D894" s="333" t="s">
        <v>763</v>
      </c>
      <c r="E894" s="42"/>
      <c r="F894" s="57"/>
      <c r="G894" s="61"/>
      <c r="H894" s="214"/>
      <c r="I894" s="247"/>
      <c r="J894" s="210">
        <f>SUM(J895:J898)</f>
        <v>240000</v>
      </c>
      <c r="K894" s="210">
        <f aca="true" t="shared" si="115" ref="K894:W894">SUM(K895:K898)</f>
        <v>0</v>
      </c>
      <c r="L894" s="210">
        <f t="shared" si="115"/>
        <v>0</v>
      </c>
      <c r="M894" s="210">
        <f t="shared" si="115"/>
        <v>0</v>
      </c>
      <c r="N894" s="210">
        <f t="shared" si="115"/>
        <v>0</v>
      </c>
      <c r="O894" s="210">
        <f t="shared" si="115"/>
        <v>0</v>
      </c>
      <c r="P894" s="210">
        <f t="shared" si="115"/>
        <v>359000</v>
      </c>
      <c r="Q894" s="210">
        <f t="shared" si="115"/>
        <v>0</v>
      </c>
      <c r="R894" s="210">
        <f t="shared" si="115"/>
        <v>0</v>
      </c>
      <c r="S894" s="210">
        <f t="shared" si="115"/>
        <v>0</v>
      </c>
      <c r="T894" s="210">
        <f t="shared" si="115"/>
        <v>0</v>
      </c>
      <c r="U894" s="210">
        <f t="shared" si="115"/>
        <v>-119000</v>
      </c>
      <c r="V894" s="210">
        <f t="shared" si="115"/>
        <v>0</v>
      </c>
      <c r="W894" s="210">
        <f t="shared" si="115"/>
        <v>77472</v>
      </c>
      <c r="X894" s="184">
        <f t="shared" si="110"/>
        <v>162528</v>
      </c>
    </row>
    <row r="895" spans="2:24" ht="31.5">
      <c r="B895" s="334"/>
      <c r="C895" s="334"/>
      <c r="D895" s="333"/>
      <c r="E895" s="51" t="s">
        <v>566</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10"/>
        <v>0</v>
      </c>
    </row>
    <row r="896" spans="2:24" ht="63">
      <c r="B896" s="334"/>
      <c r="C896" s="334"/>
      <c r="D896" s="333"/>
      <c r="E896" s="51" t="s">
        <v>684</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10"/>
        <v>79454.22</v>
      </c>
    </row>
    <row r="897" spans="2:24" ht="15.75">
      <c r="B897" s="334"/>
      <c r="C897" s="334"/>
      <c r="D897" s="333"/>
      <c r="E897" s="51" t="s">
        <v>482</v>
      </c>
      <c r="F897" s="57"/>
      <c r="G897" s="61"/>
      <c r="H897" s="214"/>
      <c r="I897" s="247">
        <v>3110</v>
      </c>
      <c r="J897" s="9">
        <v>83073.78</v>
      </c>
      <c r="K897" s="49"/>
      <c r="L897" s="49"/>
      <c r="M897" s="49"/>
      <c r="N897" s="49"/>
      <c r="O897" s="49"/>
      <c r="P897" s="49"/>
      <c r="Q897" s="49"/>
      <c r="R897" s="49"/>
      <c r="S897" s="49"/>
      <c r="T897" s="49"/>
      <c r="U897" s="49">
        <v>83073.78</v>
      </c>
      <c r="V897" s="49"/>
      <c r="W897" s="49"/>
      <c r="X897" s="40">
        <f t="shared" si="110"/>
        <v>83073.78</v>
      </c>
    </row>
    <row r="898" spans="2:24" ht="47.25" hidden="1">
      <c r="B898" s="334"/>
      <c r="C898" s="334"/>
      <c r="D898" s="333"/>
      <c r="E898" s="51" t="s">
        <v>798</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10"/>
        <v>0</v>
      </c>
    </row>
    <row r="899" spans="2:24" ht="15.75">
      <c r="B899" s="205"/>
      <c r="C899" s="205"/>
      <c r="D899" s="337" t="s">
        <v>799</v>
      </c>
      <c r="E899" s="338"/>
      <c r="F899" s="142"/>
      <c r="G899" s="143"/>
      <c r="H899" s="243"/>
      <c r="I899" s="260"/>
      <c r="J899" s="144">
        <f>J900+J904+J906</f>
        <v>1428936</v>
      </c>
      <c r="K899" s="144">
        <f aca="true" t="shared" si="116" ref="K899:W899">K900+K904+K906</f>
        <v>0</v>
      </c>
      <c r="L899" s="144">
        <f t="shared" si="116"/>
        <v>0</v>
      </c>
      <c r="M899" s="144">
        <f t="shared" si="116"/>
        <v>309436</v>
      </c>
      <c r="N899" s="144">
        <f t="shared" si="116"/>
        <v>0</v>
      </c>
      <c r="O899" s="144">
        <f t="shared" si="116"/>
        <v>0</v>
      </c>
      <c r="P899" s="144">
        <f t="shared" si="116"/>
        <v>0</v>
      </c>
      <c r="Q899" s="144">
        <f t="shared" si="116"/>
        <v>0</v>
      </c>
      <c r="R899" s="144">
        <f t="shared" si="116"/>
        <v>100000</v>
      </c>
      <c r="S899" s="144">
        <f t="shared" si="116"/>
        <v>919500</v>
      </c>
      <c r="T899" s="144">
        <f t="shared" si="116"/>
        <v>100000</v>
      </c>
      <c r="U899" s="144">
        <f t="shared" si="116"/>
        <v>0</v>
      </c>
      <c r="V899" s="144">
        <f t="shared" si="116"/>
        <v>0</v>
      </c>
      <c r="W899" s="144">
        <f t="shared" si="116"/>
        <v>1228936</v>
      </c>
      <c r="X899" s="60">
        <f t="shared" si="110"/>
        <v>200000</v>
      </c>
    </row>
    <row r="900" spans="2:24" ht="15.75">
      <c r="B900" s="288" t="s">
        <v>248</v>
      </c>
      <c r="C900" s="288" t="s">
        <v>854</v>
      </c>
      <c r="D900" s="299" t="s">
        <v>800</v>
      </c>
      <c r="E900" s="42"/>
      <c r="F900" s="57"/>
      <c r="G900" s="61"/>
      <c r="H900" s="214"/>
      <c r="I900" s="247"/>
      <c r="J900" s="210">
        <f>SUM(J901:J903)</f>
        <v>309436</v>
      </c>
      <c r="K900" s="210">
        <f aca="true" t="shared" si="117" ref="K900:W900">SUM(K901:K903)</f>
        <v>0</v>
      </c>
      <c r="L900" s="210">
        <f t="shared" si="117"/>
        <v>0</v>
      </c>
      <c r="M900" s="210">
        <f t="shared" si="117"/>
        <v>309436</v>
      </c>
      <c r="N900" s="210">
        <f t="shared" si="117"/>
        <v>0</v>
      </c>
      <c r="O900" s="210">
        <f t="shared" si="117"/>
        <v>0</v>
      </c>
      <c r="P900" s="210">
        <f t="shared" si="117"/>
        <v>0</v>
      </c>
      <c r="Q900" s="210">
        <f t="shared" si="117"/>
        <v>0</v>
      </c>
      <c r="R900" s="210">
        <f t="shared" si="117"/>
        <v>0</v>
      </c>
      <c r="S900" s="210">
        <f t="shared" si="117"/>
        <v>0</v>
      </c>
      <c r="T900" s="210">
        <f t="shared" si="117"/>
        <v>0</v>
      </c>
      <c r="U900" s="210">
        <f t="shared" si="117"/>
        <v>0</v>
      </c>
      <c r="V900" s="210">
        <f t="shared" si="117"/>
        <v>0</v>
      </c>
      <c r="W900" s="210">
        <f t="shared" si="117"/>
        <v>309436</v>
      </c>
      <c r="X900" s="184">
        <f t="shared" si="110"/>
        <v>0</v>
      </c>
    </row>
    <row r="901" spans="2:24" ht="110.25">
      <c r="B901" s="289"/>
      <c r="C901" s="289"/>
      <c r="D901" s="300"/>
      <c r="E901" s="51" t="s">
        <v>951</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10"/>
        <v>0</v>
      </c>
    </row>
    <row r="902" spans="2:24" ht="78.75">
      <c r="B902" s="289"/>
      <c r="C902" s="289"/>
      <c r="D902" s="300"/>
      <c r="E902" s="51" t="s">
        <v>890</v>
      </c>
      <c r="F902" s="57"/>
      <c r="G902" s="61"/>
      <c r="H902" s="214"/>
      <c r="I902" s="247">
        <v>3220</v>
      </c>
      <c r="J902" s="9">
        <v>5039</v>
      </c>
      <c r="K902" s="49"/>
      <c r="L902" s="9"/>
      <c r="M902" s="9">
        <v>5039</v>
      </c>
      <c r="N902" s="49"/>
      <c r="O902" s="9"/>
      <c r="P902" s="49"/>
      <c r="Q902" s="49"/>
      <c r="R902" s="49"/>
      <c r="S902" s="49"/>
      <c r="T902" s="49"/>
      <c r="U902" s="49"/>
      <c r="V902" s="49"/>
      <c r="W902" s="49">
        <v>5039</v>
      </c>
      <c r="X902" s="40">
        <f t="shared" si="110"/>
        <v>0</v>
      </c>
    </row>
    <row r="903" spans="2:24" ht="110.25">
      <c r="B903" s="293"/>
      <c r="C903" s="293"/>
      <c r="D903" s="301"/>
      <c r="E903" s="51" t="s">
        <v>176</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10"/>
        <v>0</v>
      </c>
    </row>
    <row r="904" spans="2:24" ht="15.75">
      <c r="B904" s="288" t="s">
        <v>144</v>
      </c>
      <c r="C904" s="288" t="s">
        <v>854</v>
      </c>
      <c r="D904" s="299" t="s">
        <v>680</v>
      </c>
      <c r="E904" s="42"/>
      <c r="F904" s="57"/>
      <c r="G904" s="61"/>
      <c r="H904" s="214"/>
      <c r="I904" s="247"/>
      <c r="J904" s="210">
        <f>J905</f>
        <v>200000</v>
      </c>
      <c r="K904" s="210">
        <f aca="true" t="shared" si="118" ref="K904:W904">K905</f>
        <v>0</v>
      </c>
      <c r="L904" s="210">
        <f t="shared" si="118"/>
        <v>0</v>
      </c>
      <c r="M904" s="210">
        <f t="shared" si="118"/>
        <v>0</v>
      </c>
      <c r="N904" s="210">
        <f t="shared" si="118"/>
        <v>0</v>
      </c>
      <c r="O904" s="210">
        <f t="shared" si="118"/>
        <v>0</v>
      </c>
      <c r="P904" s="210">
        <f t="shared" si="118"/>
        <v>0</v>
      </c>
      <c r="Q904" s="210">
        <f t="shared" si="118"/>
        <v>0</v>
      </c>
      <c r="R904" s="210">
        <f t="shared" si="118"/>
        <v>100000</v>
      </c>
      <c r="S904" s="210">
        <f t="shared" si="118"/>
        <v>0</v>
      </c>
      <c r="T904" s="210">
        <f t="shared" si="118"/>
        <v>100000</v>
      </c>
      <c r="U904" s="210">
        <f t="shared" si="118"/>
        <v>0</v>
      </c>
      <c r="V904" s="210">
        <f t="shared" si="118"/>
        <v>0</v>
      </c>
      <c r="W904" s="210">
        <f t="shared" si="118"/>
        <v>0</v>
      </c>
      <c r="X904" s="184">
        <f t="shared" si="110"/>
        <v>200000</v>
      </c>
    </row>
    <row r="905" spans="2:24" ht="94.5">
      <c r="B905" s="293"/>
      <c r="C905" s="293"/>
      <c r="D905" s="301"/>
      <c r="E905" s="42" t="s">
        <v>539</v>
      </c>
      <c r="F905" s="57"/>
      <c r="G905" s="61"/>
      <c r="H905" s="214"/>
      <c r="I905" s="247">
        <v>3220</v>
      </c>
      <c r="J905" s="9">
        <v>200000</v>
      </c>
      <c r="K905" s="49"/>
      <c r="L905" s="49"/>
      <c r="M905" s="49"/>
      <c r="N905" s="49"/>
      <c r="O905" s="49"/>
      <c r="P905" s="49"/>
      <c r="Q905" s="49"/>
      <c r="R905" s="49">
        <v>100000</v>
      </c>
      <c r="S905" s="49"/>
      <c r="T905" s="49">
        <v>100000</v>
      </c>
      <c r="U905" s="49"/>
      <c r="V905" s="49"/>
      <c r="W905" s="49"/>
      <c r="X905" s="40">
        <f t="shared" si="110"/>
        <v>200000</v>
      </c>
    </row>
    <row r="906" spans="2:24" ht="15.75">
      <c r="B906" s="348" t="s">
        <v>819</v>
      </c>
      <c r="C906" s="348" t="s">
        <v>854</v>
      </c>
      <c r="D906" s="346" t="s">
        <v>820</v>
      </c>
      <c r="E906" s="42"/>
      <c r="F906" s="57"/>
      <c r="G906" s="61"/>
      <c r="H906" s="214"/>
      <c r="I906" s="247"/>
      <c r="J906" s="210">
        <f>SUM(J907:J908)</f>
        <v>919500</v>
      </c>
      <c r="K906" s="210">
        <f aca="true" t="shared" si="119" ref="K906:W906">SUM(K907:K908)</f>
        <v>0</v>
      </c>
      <c r="L906" s="210">
        <f t="shared" si="119"/>
        <v>0</v>
      </c>
      <c r="M906" s="210">
        <f t="shared" si="119"/>
        <v>0</v>
      </c>
      <c r="N906" s="210">
        <f t="shared" si="119"/>
        <v>0</v>
      </c>
      <c r="O906" s="210">
        <f t="shared" si="119"/>
        <v>0</v>
      </c>
      <c r="P906" s="210">
        <f t="shared" si="119"/>
        <v>0</v>
      </c>
      <c r="Q906" s="210">
        <f t="shared" si="119"/>
        <v>0</v>
      </c>
      <c r="R906" s="210">
        <f t="shared" si="119"/>
        <v>0</v>
      </c>
      <c r="S906" s="210">
        <f t="shared" si="119"/>
        <v>919500</v>
      </c>
      <c r="T906" s="210">
        <f t="shared" si="119"/>
        <v>0</v>
      </c>
      <c r="U906" s="210">
        <f t="shared" si="119"/>
        <v>0</v>
      </c>
      <c r="V906" s="210">
        <f t="shared" si="119"/>
        <v>0</v>
      </c>
      <c r="W906" s="210">
        <f t="shared" si="119"/>
        <v>919500</v>
      </c>
      <c r="X906" s="184">
        <f t="shared" si="110"/>
        <v>0</v>
      </c>
    </row>
    <row r="907" spans="2:24" ht="47.25">
      <c r="B907" s="289"/>
      <c r="C907" s="289"/>
      <c r="D907" s="300"/>
      <c r="E907" s="51" t="s">
        <v>821</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10"/>
        <v>0</v>
      </c>
    </row>
    <row r="908" spans="2:24" ht="78.75">
      <c r="B908" s="349"/>
      <c r="C908" s="349"/>
      <c r="D908" s="347"/>
      <c r="E908" s="51" t="s">
        <v>822</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10"/>
        <v>0</v>
      </c>
    </row>
    <row r="909" spans="2:24" ht="15.75">
      <c r="B909" s="188"/>
      <c r="C909" s="188"/>
      <c r="D909" s="190" t="s">
        <v>123</v>
      </c>
      <c r="E909" s="206"/>
      <c r="F909" s="43"/>
      <c r="G909" s="207"/>
      <c r="H909" s="244"/>
      <c r="I909" s="261"/>
      <c r="J909" s="43">
        <f>J17+J46+J410+J536+J554+J704+J878+J37+J899+J893</f>
        <v>243551898.86</v>
      </c>
      <c r="K909" s="43">
        <f>K17+K46+K410+K536+K554+K704+K878+K37+K899+K893</f>
        <v>0</v>
      </c>
      <c r="L909" s="43">
        <f>L17+L46+L410+L536+L554+L704+L878+L37+L899+L893</f>
        <v>13428009.65</v>
      </c>
      <c r="M909" s="43">
        <f>M17+M46+M410+M536+M554+M704+M878+M37+M899+M893</f>
        <v>1472254.6800000002</v>
      </c>
      <c r="N909" s="43">
        <f>N17+N46+N410+N536+N554+N704+N878+N37+N899+N893</f>
        <v>93800</v>
      </c>
      <c r="O909" s="43">
        <f>O17+O46+O410+O536+O554+O704+O878+O37+O899+O893</f>
        <v>17624370.47</v>
      </c>
      <c r="P909" s="43">
        <f>P17+P46+P410+P536+P554+P704+P878+P37+P899+P893</f>
        <v>17943941.51</v>
      </c>
      <c r="Q909" s="43">
        <f>Q17+Q46+Q410+Q536+Q554+Q704+Q878+Q37+Q899+Q893</f>
        <v>37758702.190000005</v>
      </c>
      <c r="R909" s="43">
        <f>R17+R46+R410+R536+R554+R704+R878+R37+R899+R893</f>
        <v>54010938.45999999</v>
      </c>
      <c r="S909" s="43">
        <f>S17+S46+S410+S536+S554+S704+S878+S37+S899+S893</f>
        <v>75587481.97</v>
      </c>
      <c r="T909" s="43">
        <f>T17+T46+T410+T536+T554+T704+T878+T37+T899+T893</f>
        <v>16604677.86</v>
      </c>
      <c r="U909" s="43">
        <f>U17+U46+U410+U536+U554+U704+U878+U37+U899+U893</f>
        <v>3189450.07</v>
      </c>
      <c r="V909" s="43">
        <f>V17+V46+V410+V536+V554+V704+V878+V37+V899+V893</f>
        <v>5838272</v>
      </c>
      <c r="W909" s="43">
        <f>W17+W46+W410+W536+W554+W704+W878+W37+W899+W893</f>
        <v>121815253.52</v>
      </c>
      <c r="X909" s="60">
        <f t="shared" si="110"/>
        <v>115898373.33999996</v>
      </c>
    </row>
    <row r="910" spans="2:24" ht="126">
      <c r="B910" s="174">
        <v>180411</v>
      </c>
      <c r="C910" s="174"/>
      <c r="D910" s="174" t="s">
        <v>665</v>
      </c>
      <c r="E910" s="174" t="s">
        <v>478</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10"/>
        <v>13969052.799999997</v>
      </c>
    </row>
    <row r="911" spans="2:24" ht="15.75">
      <c r="B911" s="343" t="s">
        <v>669</v>
      </c>
      <c r="C911" s="344"/>
      <c r="D911" s="345"/>
      <c r="E911" s="175"/>
      <c r="F911" s="173"/>
      <c r="G911" s="208"/>
      <c r="H911" s="173"/>
      <c r="I911" s="261"/>
      <c r="J911" s="60">
        <f>J909+J910</f>
        <v>257520951.66000003</v>
      </c>
      <c r="K911" s="60">
        <f aca="true" t="shared" si="120" ref="K911:W911">K909+K910</f>
        <v>0</v>
      </c>
      <c r="L911" s="60">
        <f t="shared" si="120"/>
        <v>33486477.509999998</v>
      </c>
      <c r="M911" s="60">
        <f t="shared" si="120"/>
        <v>14676231.469999999</v>
      </c>
      <c r="N911" s="60">
        <f t="shared" si="120"/>
        <v>7000613.9</v>
      </c>
      <c r="O911" s="60">
        <f t="shared" si="120"/>
        <v>17624370.47</v>
      </c>
      <c r="P911" s="60">
        <f t="shared" si="120"/>
        <v>17943941.51</v>
      </c>
      <c r="Q911" s="60">
        <f t="shared" si="120"/>
        <v>37758702.190000005</v>
      </c>
      <c r="R911" s="60">
        <f t="shared" si="120"/>
        <v>52592127.45999999</v>
      </c>
      <c r="S911" s="60">
        <f t="shared" si="120"/>
        <v>43911667.72</v>
      </c>
      <c r="T911" s="60">
        <f t="shared" si="120"/>
        <v>23499097.36</v>
      </c>
      <c r="U911" s="60">
        <f t="shared" si="120"/>
        <v>3189450.07</v>
      </c>
      <c r="V911" s="60">
        <f t="shared" si="120"/>
        <v>5838272</v>
      </c>
      <c r="W911" s="60">
        <f t="shared" si="120"/>
        <v>121815253.52</v>
      </c>
      <c r="X911" s="60">
        <f t="shared" si="110"/>
        <v>129867426.13999997</v>
      </c>
    </row>
  </sheetData>
  <sheetProtection/>
  <mergeCells count="195">
    <mergeCell ref="C705:C707"/>
    <mergeCell ref="B8:I8"/>
    <mergeCell ref="D701:D703"/>
    <mergeCell ref="D526:D530"/>
    <mergeCell ref="C526:C530"/>
    <mergeCell ref="B526:B530"/>
    <mergeCell ref="D554:E554"/>
    <mergeCell ref="B696:B700"/>
    <mergeCell ref="C696:C700"/>
    <mergeCell ref="D696:D700"/>
    <mergeCell ref="B689:B692"/>
    <mergeCell ref="D704:E704"/>
    <mergeCell ref="C858:C877"/>
    <mergeCell ref="D858:D877"/>
    <mergeCell ref="C881:C892"/>
    <mergeCell ref="D881:D892"/>
    <mergeCell ref="D878:E878"/>
    <mergeCell ref="D801:D852"/>
    <mergeCell ref="D734:D738"/>
    <mergeCell ref="D739:D742"/>
    <mergeCell ref="D705:D707"/>
    <mergeCell ref="D899:E899"/>
    <mergeCell ref="B894:B898"/>
    <mergeCell ref="C894:C898"/>
    <mergeCell ref="D894:D898"/>
    <mergeCell ref="B858:B877"/>
    <mergeCell ref="C904:C905"/>
    <mergeCell ref="B701:B703"/>
    <mergeCell ref="C701:C703"/>
    <mergeCell ref="B881:B892"/>
    <mergeCell ref="B734:B738"/>
    <mergeCell ref="C801:C852"/>
    <mergeCell ref="C734:C738"/>
    <mergeCell ref="B739:B742"/>
    <mergeCell ref="C739:C742"/>
    <mergeCell ref="B14:I14"/>
    <mergeCell ref="C18:C32"/>
    <mergeCell ref="B38:B45"/>
    <mergeCell ref="C38:C45"/>
    <mergeCell ref="D33:D36"/>
    <mergeCell ref="C33:C36"/>
    <mergeCell ref="B33:B36"/>
    <mergeCell ref="D38:D45"/>
    <mergeCell ref="B911:D911"/>
    <mergeCell ref="B904:B905"/>
    <mergeCell ref="C900:C903"/>
    <mergeCell ref="D900:D903"/>
    <mergeCell ref="B900:B903"/>
    <mergeCell ref="D906:D908"/>
    <mergeCell ref="D904:D905"/>
    <mergeCell ref="B906:B908"/>
    <mergeCell ref="C906:C908"/>
    <mergeCell ref="E607:E608"/>
    <mergeCell ref="D295:D297"/>
    <mergeCell ref="C494:C525"/>
    <mergeCell ref="D368:D381"/>
    <mergeCell ref="C340:C341"/>
    <mergeCell ref="E521:E522"/>
    <mergeCell ref="D411:D467"/>
    <mergeCell ref="D536:E536"/>
    <mergeCell ref="D390:D409"/>
    <mergeCell ref="D281:D294"/>
    <mergeCell ref="D342:D358"/>
    <mergeCell ref="D46:E46"/>
    <mergeCell ref="D47:D160"/>
    <mergeCell ref="D161:D280"/>
    <mergeCell ref="D359:D361"/>
    <mergeCell ref="D298:D301"/>
    <mergeCell ref="B853:B857"/>
    <mergeCell ref="C853:C857"/>
    <mergeCell ref="D853:D857"/>
    <mergeCell ref="B743:B794"/>
    <mergeCell ref="C743:C794"/>
    <mergeCell ref="D743:D794"/>
    <mergeCell ref="B795:B800"/>
    <mergeCell ref="B730:B731"/>
    <mergeCell ref="C730:C731"/>
    <mergeCell ref="D730:D731"/>
    <mergeCell ref="B732:B733"/>
    <mergeCell ref="C732:C733"/>
    <mergeCell ref="D732:D733"/>
    <mergeCell ref="D893:E893"/>
    <mergeCell ref="B708:B713"/>
    <mergeCell ref="C708:C713"/>
    <mergeCell ref="D708:D713"/>
    <mergeCell ref="B714:B729"/>
    <mergeCell ref="C714:C729"/>
    <mergeCell ref="D714:D729"/>
    <mergeCell ref="C795:C800"/>
    <mergeCell ref="D795:D800"/>
    <mergeCell ref="B801:B852"/>
    <mergeCell ref="D689:D692"/>
    <mergeCell ref="B693:B695"/>
    <mergeCell ref="C693:C695"/>
    <mergeCell ref="D693:D695"/>
    <mergeCell ref="C689:C692"/>
    <mergeCell ref="B635:B686"/>
    <mergeCell ref="C635:C686"/>
    <mergeCell ref="D635:D686"/>
    <mergeCell ref="B687:B688"/>
    <mergeCell ref="C687:C688"/>
    <mergeCell ref="D687:D688"/>
    <mergeCell ref="B598:B600"/>
    <mergeCell ref="C598:C600"/>
    <mergeCell ref="D598:D600"/>
    <mergeCell ref="B601:B634"/>
    <mergeCell ref="C601:C634"/>
    <mergeCell ref="D601:D634"/>
    <mergeCell ref="B575:B577"/>
    <mergeCell ref="C575:C577"/>
    <mergeCell ref="D575:D577"/>
    <mergeCell ref="B578:B597"/>
    <mergeCell ref="C578:C597"/>
    <mergeCell ref="D578:D597"/>
    <mergeCell ref="B557:B574"/>
    <mergeCell ref="C557:C574"/>
    <mergeCell ref="D557:D574"/>
    <mergeCell ref="B555:B556"/>
    <mergeCell ref="C555:C556"/>
    <mergeCell ref="D555:D556"/>
    <mergeCell ref="B544:B545"/>
    <mergeCell ref="C544:C545"/>
    <mergeCell ref="D544:D545"/>
    <mergeCell ref="B546:B553"/>
    <mergeCell ref="C546:C553"/>
    <mergeCell ref="D546:D553"/>
    <mergeCell ref="D410:E410"/>
    <mergeCell ref="B537:B543"/>
    <mergeCell ref="C537:C543"/>
    <mergeCell ref="D537:D543"/>
    <mergeCell ref="B531:B535"/>
    <mergeCell ref="C531:C535"/>
    <mergeCell ref="D531:D535"/>
    <mergeCell ref="B468:B493"/>
    <mergeCell ref="C468:C493"/>
    <mergeCell ref="D468:D493"/>
    <mergeCell ref="B494:B525"/>
    <mergeCell ref="D494:D525"/>
    <mergeCell ref="B161:B280"/>
    <mergeCell ref="C161:C280"/>
    <mergeCell ref="B281:B294"/>
    <mergeCell ref="B359:B361"/>
    <mergeCell ref="C359:C361"/>
    <mergeCell ref="D340:D341"/>
    <mergeCell ref="C295:C297"/>
    <mergeCell ref="B295:B297"/>
    <mergeCell ref="C47:C160"/>
    <mergeCell ref="D17:E17"/>
    <mergeCell ref="B18:B32"/>
    <mergeCell ref="D18:D32"/>
    <mergeCell ref="D37:E37"/>
    <mergeCell ref="B11:I11"/>
    <mergeCell ref="B7:I7"/>
    <mergeCell ref="I607:I608"/>
    <mergeCell ref="D302:D310"/>
    <mergeCell ref="C316:C339"/>
    <mergeCell ref="D382:D389"/>
    <mergeCell ref="C382:C389"/>
    <mergeCell ref="D362:D367"/>
    <mergeCell ref="C311:C315"/>
    <mergeCell ref="D311:D315"/>
    <mergeCell ref="B705:B707"/>
    <mergeCell ref="B47:B160"/>
    <mergeCell ref="B2:I2"/>
    <mergeCell ref="B13:I13"/>
    <mergeCell ref="B12:I12"/>
    <mergeCell ref="B3:I3"/>
    <mergeCell ref="B4:I4"/>
    <mergeCell ref="B5:I5"/>
    <mergeCell ref="B6:I6"/>
    <mergeCell ref="B10:I10"/>
    <mergeCell ref="C298:C301"/>
    <mergeCell ref="B382:B389"/>
    <mergeCell ref="B9:I9"/>
    <mergeCell ref="B879:B880"/>
    <mergeCell ref="C879:C880"/>
    <mergeCell ref="D879:D880"/>
    <mergeCell ref="B316:B339"/>
    <mergeCell ref="D316:D339"/>
    <mergeCell ref="B362:B367"/>
    <mergeCell ref="C362:C367"/>
    <mergeCell ref="C281:C294"/>
    <mergeCell ref="B298:B301"/>
    <mergeCell ref="C342:C358"/>
    <mergeCell ref="C368:C381"/>
    <mergeCell ref="B368:B381"/>
    <mergeCell ref="B311:B315"/>
    <mergeCell ref="B340:B341"/>
    <mergeCell ref="B342:B358"/>
    <mergeCell ref="B302:B310"/>
    <mergeCell ref="C302:C310"/>
    <mergeCell ref="B390:B409"/>
    <mergeCell ref="C390:C409"/>
    <mergeCell ref="B411:B467"/>
    <mergeCell ref="C411:C467"/>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2015-11-26T10:35:26Z</dcterms:modified>
  <cp:category/>
  <cp:version/>
  <cp:contentType/>
  <cp:contentStatus/>
</cp:coreProperties>
</file>